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dwfiv\Documents\Block\2020 Season\"/>
    </mc:Choice>
  </mc:AlternateContent>
  <xr:revisionPtr revIDLastSave="0" documentId="8_{E7B84861-7064-41F9-8460-122110CB7204}" xr6:coauthVersionLast="45" xr6:coauthVersionMax="45" xr10:uidLastSave="{00000000-0000-0000-0000-000000000000}"/>
  <bookViews>
    <workbookView xWindow="28680" yWindow="-120" windowWidth="29040" windowHeight="15840" xr2:uid="{4A93FBD1-284C-4E4A-9DC5-BC90211579A9}"/>
  </bookViews>
  <sheets>
    <sheet name="Stats2020" sheetId="1" r:id="rId1"/>
  </sheets>
  <definedNames>
    <definedName name="_xlnm._FilterDatabase" localSheetId="0" hidden="1">Stats2020!$A$3:$AC$21</definedName>
    <definedName name="_xlnm.Print_Area" localSheetId="0">Stats2020!$A$3:$AC$46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6" i="1" l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AC55" i="1"/>
  <c r="AB55" i="1"/>
  <c r="AA55" i="1"/>
  <c r="Z55" i="1"/>
  <c r="Y55" i="1"/>
  <c r="X55" i="1"/>
  <c r="AC54" i="1"/>
  <c r="AB54" i="1"/>
  <c r="AA54" i="1"/>
  <c r="Z54" i="1"/>
  <c r="Y54" i="1"/>
  <c r="X54" i="1"/>
  <c r="AC53" i="1"/>
  <c r="AB53" i="1"/>
  <c r="AA53" i="1"/>
  <c r="Z53" i="1"/>
  <c r="Y53" i="1"/>
  <c r="X53" i="1"/>
  <c r="D48" i="1"/>
  <c r="V47" i="1"/>
  <c r="F47" i="1"/>
  <c r="W45" i="1"/>
  <c r="V45" i="1"/>
  <c r="U45" i="1"/>
  <c r="T45" i="1"/>
  <c r="S45" i="1"/>
  <c r="AC45" i="1" s="1"/>
  <c r="AC48" i="1" s="1"/>
  <c r="R45" i="1"/>
  <c r="R46" i="1" s="1"/>
  <c r="R48" i="1" s="1"/>
  <c r="Q45" i="1"/>
  <c r="P45" i="1"/>
  <c r="O45" i="1"/>
  <c r="N45" i="1"/>
  <c r="N46" i="1" s="1"/>
  <c r="N48" i="1" s="1"/>
  <c r="M45" i="1"/>
  <c r="L45" i="1"/>
  <c r="K45" i="1"/>
  <c r="K47" i="1" s="1"/>
  <c r="J45" i="1"/>
  <c r="Z45" i="1" s="1"/>
  <c r="Z48" i="1" s="1"/>
  <c r="I45" i="1"/>
  <c r="H45" i="1"/>
  <c r="G45" i="1"/>
  <c r="F45" i="1"/>
  <c r="F46" i="1" s="1"/>
  <c r="F48" i="1" s="1"/>
  <c r="E45" i="1"/>
  <c r="B45" i="1"/>
  <c r="AC44" i="1"/>
  <c r="AB44" i="1"/>
  <c r="AA44" i="1"/>
  <c r="Z44" i="1"/>
  <c r="Y44" i="1"/>
  <c r="X44" i="1"/>
  <c r="AC43" i="1"/>
  <c r="AB43" i="1"/>
  <c r="AA43" i="1"/>
  <c r="Z43" i="1"/>
  <c r="Y43" i="1"/>
  <c r="X43" i="1"/>
  <c r="AC42" i="1"/>
  <c r="AB42" i="1"/>
  <c r="AA42" i="1"/>
  <c r="Z42" i="1"/>
  <c r="Y42" i="1"/>
  <c r="X42" i="1"/>
  <c r="AC41" i="1"/>
  <c r="AB41" i="1"/>
  <c r="AA41" i="1"/>
  <c r="Z41" i="1"/>
  <c r="Y41" i="1"/>
  <c r="X41" i="1"/>
  <c r="AC40" i="1"/>
  <c r="AB40" i="1"/>
  <c r="AA40" i="1"/>
  <c r="Z40" i="1"/>
  <c r="Y40" i="1"/>
  <c r="X40" i="1"/>
  <c r="AC39" i="1"/>
  <c r="AB39" i="1"/>
  <c r="AA39" i="1"/>
  <c r="Z39" i="1"/>
  <c r="Y39" i="1"/>
  <c r="X39" i="1"/>
  <c r="AC38" i="1"/>
  <c r="AB38" i="1"/>
  <c r="AA38" i="1"/>
  <c r="Z38" i="1"/>
  <c r="Y38" i="1"/>
  <c r="X38" i="1"/>
  <c r="AC37" i="1"/>
  <c r="AB37" i="1"/>
  <c r="AA37" i="1"/>
  <c r="Z37" i="1"/>
  <c r="Y37" i="1"/>
  <c r="X37" i="1"/>
  <c r="AC36" i="1"/>
  <c r="AB36" i="1"/>
  <c r="AA36" i="1"/>
  <c r="Z36" i="1"/>
  <c r="Y36" i="1"/>
  <c r="X36" i="1"/>
  <c r="AC35" i="1"/>
  <c r="AB35" i="1"/>
  <c r="AA35" i="1"/>
  <c r="Z35" i="1"/>
  <c r="Y35" i="1"/>
  <c r="X35" i="1"/>
  <c r="AC34" i="1"/>
  <c r="AB34" i="1"/>
  <c r="AA34" i="1"/>
  <c r="Z34" i="1"/>
  <c r="Y34" i="1"/>
  <c r="X34" i="1"/>
  <c r="G27" i="1"/>
  <c r="R24" i="1"/>
  <c r="W22" i="1"/>
  <c r="W24" i="1" s="1"/>
  <c r="V22" i="1"/>
  <c r="V23" i="1" s="1"/>
  <c r="V25" i="1" s="1"/>
  <c r="U22" i="1"/>
  <c r="U23" i="1" s="1"/>
  <c r="U25" i="1" s="1"/>
  <c r="T22" i="1"/>
  <c r="T24" i="1" s="1"/>
  <c r="S22" i="1"/>
  <c r="S23" i="1" s="1"/>
  <c r="S25" i="1" s="1"/>
  <c r="R22" i="1"/>
  <c r="R23" i="1" s="1"/>
  <c r="R25" i="1" s="1"/>
  <c r="Q22" i="1"/>
  <c r="Q24" i="1" s="1"/>
  <c r="P22" i="1"/>
  <c r="P24" i="1" s="1"/>
  <c r="O22" i="1"/>
  <c r="O24" i="1" s="1"/>
  <c r="N22" i="1"/>
  <c r="N23" i="1" s="1"/>
  <c r="N25" i="1" s="1"/>
  <c r="M22" i="1"/>
  <c r="M23" i="1" s="1"/>
  <c r="M25" i="1" s="1"/>
  <c r="L22" i="1"/>
  <c r="L24" i="1" s="1"/>
  <c r="K22" i="1"/>
  <c r="K24" i="1" s="1"/>
  <c r="J22" i="1"/>
  <c r="J23" i="1" s="1"/>
  <c r="J25" i="1" s="1"/>
  <c r="I22" i="1"/>
  <c r="I24" i="1" s="1"/>
  <c r="H22" i="1"/>
  <c r="H23" i="1" s="1"/>
  <c r="H25" i="1" s="1"/>
  <c r="G22" i="1"/>
  <c r="F22" i="1"/>
  <c r="F23" i="1" s="1"/>
  <c r="F25" i="1" s="1"/>
  <c r="E22" i="1"/>
  <c r="E23" i="1" s="1"/>
  <c r="E25" i="1" s="1"/>
  <c r="B22" i="1"/>
  <c r="AC21" i="1"/>
  <c r="AB21" i="1"/>
  <c r="AA21" i="1"/>
  <c r="Z21" i="1"/>
  <c r="Y21" i="1"/>
  <c r="X21" i="1"/>
  <c r="Z20" i="1"/>
  <c r="AA20" i="1" s="1"/>
  <c r="Y20" i="1"/>
  <c r="X20" i="1"/>
  <c r="Z19" i="1"/>
  <c r="Y19" i="1"/>
  <c r="AB19" i="1" s="1"/>
  <c r="AC19" i="1" s="1"/>
  <c r="X19" i="1"/>
  <c r="Z18" i="1"/>
  <c r="Y18" i="1"/>
  <c r="AB18" i="1" s="1"/>
  <c r="AC18" i="1" s="1"/>
  <c r="X18" i="1"/>
  <c r="Z17" i="1"/>
  <c r="Y17" i="1"/>
  <c r="AA17" i="1" s="1"/>
  <c r="X17" i="1"/>
  <c r="Z16" i="1"/>
  <c r="Y16" i="1"/>
  <c r="AB16" i="1" s="1"/>
  <c r="AC16" i="1" s="1"/>
  <c r="X16" i="1"/>
  <c r="Z15" i="1"/>
  <c r="Y15" i="1"/>
  <c r="AB15" i="1" s="1"/>
  <c r="AC15" i="1" s="1"/>
  <c r="X15" i="1"/>
  <c r="Z14" i="1"/>
  <c r="Y14" i="1"/>
  <c r="X14" i="1"/>
  <c r="Z13" i="1"/>
  <c r="Y13" i="1"/>
  <c r="X13" i="1"/>
  <c r="Z12" i="1"/>
  <c r="Y12" i="1"/>
  <c r="X12" i="1"/>
  <c r="Z11" i="1"/>
  <c r="Y11" i="1"/>
  <c r="AB11" i="1" s="1"/>
  <c r="AC11" i="1" s="1"/>
  <c r="X11" i="1"/>
  <c r="Z10" i="1"/>
  <c r="Y10" i="1"/>
  <c r="AB10" i="1" s="1"/>
  <c r="AC10" i="1" s="1"/>
  <c r="X10" i="1"/>
  <c r="Z9" i="1"/>
  <c r="Y9" i="1"/>
  <c r="AB9" i="1" s="1"/>
  <c r="AC9" i="1" s="1"/>
  <c r="X9" i="1"/>
  <c r="Z8" i="1"/>
  <c r="Y8" i="1"/>
  <c r="AB8" i="1" s="1"/>
  <c r="AC8" i="1" s="1"/>
  <c r="X8" i="1"/>
  <c r="Z7" i="1"/>
  <c r="Y7" i="1"/>
  <c r="AB7" i="1" s="1"/>
  <c r="AC7" i="1" s="1"/>
  <c r="X7" i="1"/>
  <c r="Z6" i="1"/>
  <c r="Y6" i="1"/>
  <c r="X6" i="1"/>
  <c r="Z5" i="1"/>
  <c r="Y5" i="1"/>
  <c r="X5" i="1"/>
  <c r="Z4" i="1"/>
  <c r="Y4" i="1"/>
  <c r="X4" i="1"/>
  <c r="K23" i="1" l="1"/>
  <c r="K25" i="1" s="1"/>
  <c r="J24" i="1"/>
  <c r="AC56" i="1"/>
  <c r="AB17" i="1"/>
  <c r="AC17" i="1" s="1"/>
  <c r="AA15" i="1"/>
  <c r="O47" i="1"/>
  <c r="W47" i="1"/>
  <c r="AA8" i="1"/>
  <c r="AA16" i="1"/>
  <c r="P23" i="1"/>
  <c r="P25" i="1" s="1"/>
  <c r="S24" i="1"/>
  <c r="G47" i="1"/>
  <c r="AA9" i="1"/>
  <c r="AA12" i="1"/>
  <c r="L46" i="1"/>
  <c r="L48" i="1" s="1"/>
  <c r="T46" i="1"/>
  <c r="T48" i="1" s="1"/>
  <c r="J47" i="1"/>
  <c r="AA6" i="1"/>
  <c r="H24" i="1"/>
  <c r="M26" i="1"/>
  <c r="E46" i="1"/>
  <c r="E48" i="1" s="1"/>
  <c r="AA45" i="1"/>
  <c r="AB48" i="1" s="1"/>
  <c r="U46" i="1"/>
  <c r="U48" i="1" s="1"/>
  <c r="V46" i="1"/>
  <c r="V48" i="1" s="1"/>
  <c r="N47" i="1"/>
  <c r="AA19" i="1"/>
  <c r="AA11" i="1"/>
  <c r="H47" i="1"/>
  <c r="R47" i="1"/>
  <c r="AA7" i="1"/>
  <c r="I47" i="1"/>
  <c r="Q47" i="1"/>
  <c r="S47" i="1"/>
  <c r="G23" i="1"/>
  <c r="G25" i="1" s="1"/>
  <c r="O23" i="1"/>
  <c r="O25" i="1" s="1"/>
  <c r="W23" i="1"/>
  <c r="W25" i="1" s="1"/>
  <c r="I26" i="1"/>
  <c r="AB45" i="1"/>
  <c r="AA48" i="1" s="1"/>
  <c r="G46" i="1"/>
  <c r="G48" i="1" s="1"/>
  <c r="O46" i="1"/>
  <c r="O48" i="1" s="1"/>
  <c r="W46" i="1"/>
  <c r="W48" i="1" s="1"/>
  <c r="I49" i="1"/>
  <c r="H46" i="1"/>
  <c r="H48" i="1" s="1"/>
  <c r="P46" i="1"/>
  <c r="P48" i="1" s="1"/>
  <c r="AC46" i="1"/>
  <c r="M49" i="1"/>
  <c r="I46" i="1"/>
  <c r="I48" i="1" s="1"/>
  <c r="Q46" i="1"/>
  <c r="Q48" i="1" s="1"/>
  <c r="L47" i="1"/>
  <c r="T47" i="1"/>
  <c r="P49" i="1"/>
  <c r="AA14" i="1"/>
  <c r="I23" i="1"/>
  <c r="I25" i="1" s="1"/>
  <c r="Q23" i="1"/>
  <c r="Q25" i="1" s="1"/>
  <c r="R26" i="1"/>
  <c r="AA5" i="1"/>
  <c r="AB6" i="1"/>
  <c r="AC6" i="1" s="1"/>
  <c r="AA13" i="1"/>
  <c r="AB14" i="1"/>
  <c r="AC14" i="1" s="1"/>
  <c r="X22" i="1"/>
  <c r="X25" i="1" s="1"/>
  <c r="E24" i="1"/>
  <c r="M24" i="1"/>
  <c r="U24" i="1"/>
  <c r="J46" i="1"/>
  <c r="J48" i="1" s="1"/>
  <c r="E47" i="1"/>
  <c r="M47" i="1"/>
  <c r="U47" i="1"/>
  <c r="I50" i="1"/>
  <c r="V24" i="1"/>
  <c r="S46" i="1"/>
  <c r="S48" i="1" s="1"/>
  <c r="AA4" i="1"/>
  <c r="AB13" i="1"/>
  <c r="AC13" i="1" s="1"/>
  <c r="F24" i="1"/>
  <c r="X45" i="1"/>
  <c r="X48" i="1" s="1"/>
  <c r="K46" i="1"/>
  <c r="K48" i="1" s="1"/>
  <c r="AB4" i="1"/>
  <c r="AB12" i="1"/>
  <c r="AC12" i="1" s="1"/>
  <c r="AB20" i="1"/>
  <c r="AC20" i="1" s="1"/>
  <c r="Z22" i="1"/>
  <c r="Z25" i="1" s="1"/>
  <c r="L23" i="1"/>
  <c r="L25" i="1" s="1"/>
  <c r="T23" i="1"/>
  <c r="T25" i="1" s="1"/>
  <c r="G24" i="1"/>
  <c r="T31" i="1"/>
  <c r="Y45" i="1"/>
  <c r="Y48" i="1" s="1"/>
  <c r="I27" i="1"/>
  <c r="M46" i="1"/>
  <c r="M48" i="1" s="1"/>
  <c r="P47" i="1"/>
  <c r="AB5" i="1"/>
  <c r="AC5" i="1" s="1"/>
  <c r="Y22" i="1"/>
  <c r="N24" i="1"/>
  <c r="AA10" i="1"/>
  <c r="AA18" i="1"/>
  <c r="G26" i="1"/>
  <c r="AA22" i="1" l="1"/>
  <c r="AA25" i="1" s="1"/>
  <c r="Y25" i="1"/>
  <c r="AC4" i="1"/>
  <c r="AB23" i="1"/>
  <c r="AB22" i="1"/>
  <c r="AC22" i="1" s="1"/>
</calcChain>
</file>

<file path=xl/sharedStrings.xml><?xml version="1.0" encoding="utf-8"?>
<sst xmlns="http://schemas.openxmlformats.org/spreadsheetml/2006/main" count="167" uniqueCount="104">
  <si>
    <t>RPT_bat_stats</t>
  </si>
  <si>
    <t>Quota</t>
  </si>
  <si>
    <t>Left</t>
  </si>
  <si>
    <t>Bats</t>
  </si>
  <si>
    <t>Name</t>
  </si>
  <si>
    <t>GP</t>
  </si>
  <si>
    <t>AB</t>
  </si>
  <si>
    <t>PA</t>
  </si>
  <si>
    <t>Hits</t>
  </si>
  <si>
    <t>RS</t>
  </si>
  <si>
    <t>RBI</t>
  </si>
  <si>
    <t>2B</t>
  </si>
  <si>
    <t>3B</t>
  </si>
  <si>
    <t>HR</t>
  </si>
  <si>
    <t>BB</t>
  </si>
  <si>
    <t>K</t>
  </si>
  <si>
    <t>GIDP</t>
  </si>
  <si>
    <t>SB</t>
  </si>
  <si>
    <t>CS</t>
  </si>
  <si>
    <t>SAC</t>
  </si>
  <si>
    <t>SF</t>
  </si>
  <si>
    <t>E</t>
  </si>
  <si>
    <t>X</t>
  </si>
  <si>
    <t>TB</t>
  </si>
  <si>
    <t>BA</t>
  </si>
  <si>
    <t>OBP</t>
  </si>
  <si>
    <t>SP</t>
  </si>
  <si>
    <t>OBS</t>
  </si>
  <si>
    <t>RC</t>
  </si>
  <si>
    <t>RC/AB</t>
  </si>
  <si>
    <t>R</t>
  </si>
  <si>
    <t>O'Brien,P</t>
  </si>
  <si>
    <t>Kendrick,H</t>
  </si>
  <si>
    <t>Hays,A</t>
  </si>
  <si>
    <t>Martinez,JD</t>
  </si>
  <si>
    <t>Dejong,P</t>
  </si>
  <si>
    <t>Aguilar,J</t>
  </si>
  <si>
    <t>Garver,M</t>
  </si>
  <si>
    <t>L</t>
  </si>
  <si>
    <t>McNeil,J</t>
  </si>
  <si>
    <t>Mercer,J</t>
  </si>
  <si>
    <t>Phegley,J</t>
  </si>
  <si>
    <t>Pham,T</t>
  </si>
  <si>
    <t>Broxton,K</t>
  </si>
  <si>
    <t>Yelich,C</t>
  </si>
  <si>
    <t>Cave,J</t>
  </si>
  <si>
    <t>S</t>
  </si>
  <si>
    <t>Santana,Da</t>
  </si>
  <si>
    <t>Kinsler,I</t>
  </si>
  <si>
    <t>Flowers,T</t>
  </si>
  <si>
    <t>Pitcher,1</t>
  </si>
  <si>
    <t>Totals</t>
  </si>
  <si>
    <t>per game</t>
  </si>
  <si>
    <t>per inning</t>
  </si>
  <si>
    <t>2020 projected</t>
  </si>
  <si>
    <t>=RS/(Hits+BB)</t>
  </si>
  <si>
    <t>HR/Hits</t>
  </si>
  <si>
    <t>SB%</t>
  </si>
  <si>
    <t>ditto less homers</t>
  </si>
  <si>
    <t xml:space="preserve">After Game </t>
  </si>
  <si>
    <t>RPT_pit_stats</t>
  </si>
  <si>
    <t>quota</t>
  </si>
  <si>
    <t>thr</t>
  </si>
  <si>
    <t>APP</t>
  </si>
  <si>
    <t>IP</t>
  </si>
  <si>
    <t>BF</t>
  </si>
  <si>
    <t>H</t>
  </si>
  <si>
    <t>ER</t>
  </si>
  <si>
    <t>(br)</t>
  </si>
  <si>
    <t>RP</t>
  </si>
  <si>
    <t>GS</t>
  </si>
  <si>
    <t>CG</t>
  </si>
  <si>
    <t>SHO</t>
  </si>
  <si>
    <t>W</t>
  </si>
  <si>
    <t>Sv</t>
  </si>
  <si>
    <t>Hd</t>
  </si>
  <si>
    <t>BS</t>
  </si>
  <si>
    <t>BAA</t>
  </si>
  <si>
    <t>OBA</t>
  </si>
  <si>
    <t>ERA</t>
  </si>
  <si>
    <t>FIP</t>
  </si>
  <si>
    <t>WHIP</t>
  </si>
  <si>
    <t>WL%</t>
  </si>
  <si>
    <t>Moronta,R</t>
  </si>
  <si>
    <t>Syndergaard,N</t>
  </si>
  <si>
    <t>McHugh,C</t>
  </si>
  <si>
    <t>Porcello,R</t>
  </si>
  <si>
    <t>Williams,Tr</t>
  </si>
  <si>
    <t>Wood,A</t>
  </si>
  <si>
    <t>Shoemaker,M</t>
  </si>
  <si>
    <t>Yamamoto,J</t>
  </si>
  <si>
    <t>Wick,R</t>
  </si>
  <si>
    <t>Fields,J</t>
  </si>
  <si>
    <t>Cahill,T</t>
  </si>
  <si>
    <t>Team Totals</t>
  </si>
  <si>
    <t>Per Inning</t>
  </si>
  <si>
    <t>of season</t>
  </si>
  <si>
    <t>RPT_pit_LR_SR</t>
  </si>
  <si>
    <t>Thr</t>
  </si>
  <si>
    <t>S/R</t>
  </si>
  <si>
    <t>f</t>
  </si>
  <si>
    <t>Hold</t>
  </si>
  <si>
    <t>relievers</t>
  </si>
  <si>
    <t>Starters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</si>
</sst>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"/>
    <numFmt numFmtId="165" formatCode="0.0"/>
  </numFmts>
  <fonts count="16" x14ac:knownFonts="1">
    <font>
      <sz val="10"/>
      <name val="Arial"/>
    </font>
    <font>
      <sz val="10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10"/>
      <name val="Arial"/>
      <family val="2"/>
    </font>
    <font>
      <sz val="20"/>
      <name val="Old English Text MT"/>
      <family val="4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8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72">
    <xf numFmtId="0" fontId="0" fillId="0" borderId="0" xfId="0"/>
    <xf numFmtId="0" fontId="1" fillId="0" borderId="0" xfId="0" applyFont="1"/>
    <xf numFmtId="0" fontId="3" fillId="2" borderId="1" xfId="3" applyFont="1" applyFill="1" applyBorder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2" xfId="6" applyFont="1" applyBorder="1" applyAlignment="1">
      <alignment horizontal="right" wrapText="1"/>
    </xf>
    <xf numFmtId="0" fontId="1" fillId="0" borderId="2" xfId="6" applyFont="1" applyBorder="1" applyAlignment="1">
      <alignment horizontal="right" wrapText="1"/>
    </xf>
    <xf numFmtId="0" fontId="3" fillId="0" borderId="2" xfId="6" applyFont="1" applyBorder="1" applyAlignment="1">
      <alignment horizontal="center" wrapText="1"/>
    </xf>
    <xf numFmtId="0" fontId="3" fillId="0" borderId="2" xfId="3" applyFont="1" applyBorder="1" applyAlignment="1">
      <alignment wrapText="1"/>
    </xf>
    <xf numFmtId="164" fontId="3" fillId="0" borderId="2" xfId="4" applyNumberFormat="1" applyFont="1" applyBorder="1" applyAlignment="1">
      <alignment horizontal="right" wrapText="1"/>
    </xf>
    <xf numFmtId="165" fontId="3" fillId="0" borderId="2" xfId="4" applyNumberFormat="1" applyFont="1" applyBorder="1" applyAlignment="1">
      <alignment horizontal="right" wrapText="1"/>
    </xf>
    <xf numFmtId="1" fontId="1" fillId="0" borderId="0" xfId="0" applyNumberFormat="1" applyFont="1"/>
    <xf numFmtId="0" fontId="5" fillId="3" borderId="3" xfId="0" applyFont="1" applyFill="1" applyBorder="1"/>
    <xf numFmtId="0" fontId="5" fillId="3" borderId="4" xfId="0" applyFont="1" applyFill="1" applyBorder="1"/>
    <xf numFmtId="0" fontId="4" fillId="4" borderId="4" xfId="5" applyFont="1" applyFill="1" applyBorder="1"/>
    <xf numFmtId="164" fontId="5" fillId="3" borderId="4" xfId="0" applyNumberFormat="1" applyFont="1" applyFill="1" applyBorder="1"/>
    <xf numFmtId="165" fontId="5" fillId="3" borderId="4" xfId="0" applyNumberFormat="1" applyFont="1" applyFill="1" applyBorder="1"/>
    <xf numFmtId="0" fontId="5" fillId="0" borderId="0" xfId="0" applyFont="1" applyAlignment="1">
      <alignment horizontal="right"/>
    </xf>
    <xf numFmtId="165" fontId="5" fillId="0" borderId="0" xfId="0" applyNumberFormat="1" applyFont="1"/>
    <xf numFmtId="2" fontId="5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2" fontId="7" fillId="0" borderId="0" xfId="0" applyNumberFormat="1" applyFont="1"/>
    <xf numFmtId="0" fontId="1" fillId="0" borderId="0" xfId="0" applyFont="1" applyAlignment="1">
      <alignment horizontal="right"/>
    </xf>
    <xf numFmtId="9" fontId="1" fillId="0" borderId="0" xfId="2" applyFont="1"/>
    <xf numFmtId="0" fontId="1" fillId="0" borderId="0" xfId="0" quotePrefix="1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1" fontId="9" fillId="0" borderId="0" xfId="0" applyNumberFormat="1" applyFont="1" applyAlignment="1">
      <alignment horizontal="center"/>
    </xf>
    <xf numFmtId="0" fontId="10" fillId="0" borderId="0" xfId="0" applyFont="1"/>
    <xf numFmtId="0" fontId="11" fillId="2" borderId="1" xfId="3" applyFont="1" applyFill="1" applyBorder="1" applyAlignment="1">
      <alignment horizontal="center"/>
    </xf>
    <xf numFmtId="0" fontId="12" fillId="2" borderId="1" xfId="6" applyFont="1" applyFill="1" applyBorder="1" applyAlignment="1">
      <alignment horizontal="center"/>
    </xf>
    <xf numFmtId="12" fontId="13" fillId="0" borderId="2" xfId="1" applyNumberFormat="1" applyFont="1" applyBorder="1" applyAlignment="1">
      <alignment horizontal="right" wrapText="1"/>
    </xf>
    <xf numFmtId="12" fontId="13" fillId="0" borderId="2" xfId="6" applyNumberFormat="1" applyFont="1" applyBorder="1" applyAlignment="1">
      <alignment horizontal="center" wrapText="1"/>
    </xf>
    <xf numFmtId="0" fontId="13" fillId="0" borderId="2" xfId="6" applyFont="1" applyBorder="1" applyAlignment="1">
      <alignment wrapText="1"/>
    </xf>
    <xf numFmtId="12" fontId="13" fillId="0" borderId="2" xfId="6" applyNumberFormat="1" applyFont="1" applyBorder="1" applyAlignment="1">
      <alignment horizontal="right" wrapText="1"/>
    </xf>
    <xf numFmtId="12" fontId="3" fillId="0" borderId="2" xfId="6" applyNumberFormat="1" applyFont="1" applyBorder="1" applyAlignment="1">
      <alignment horizontal="right"/>
    </xf>
    <xf numFmtId="0" fontId="13" fillId="0" borderId="2" xfId="6" applyFont="1" applyBorder="1" applyAlignment="1">
      <alignment horizontal="right" wrapText="1"/>
    </xf>
    <xf numFmtId="2" fontId="3" fillId="0" borderId="2" xfId="4" applyNumberFormat="1" applyFont="1" applyBorder="1" applyAlignment="1">
      <alignment horizontal="right" wrapText="1"/>
    </xf>
    <xf numFmtId="164" fontId="13" fillId="0" borderId="2" xfId="6" applyNumberFormat="1" applyFont="1" applyBorder="1" applyAlignment="1">
      <alignment horizontal="right" wrapText="1"/>
    </xf>
    <xf numFmtId="1" fontId="14" fillId="0" borderId="0" xfId="0" applyNumberFormat="1" applyFont="1"/>
    <xf numFmtId="0" fontId="7" fillId="5" borderId="3" xfId="0" applyFont="1" applyFill="1" applyBorder="1"/>
    <xf numFmtId="0" fontId="7" fillId="5" borderId="4" xfId="0" applyFont="1" applyFill="1" applyBorder="1"/>
    <xf numFmtId="0" fontId="15" fillId="6" borderId="5" xfId="5" applyFont="1" applyFill="1" applyBorder="1"/>
    <xf numFmtId="1" fontId="7" fillId="5" borderId="4" xfId="0" applyNumberFormat="1" applyFont="1" applyFill="1" applyBorder="1"/>
    <xf numFmtId="12" fontId="7" fillId="5" borderId="4" xfId="0" applyNumberFormat="1" applyFont="1" applyFill="1" applyBorder="1"/>
    <xf numFmtId="164" fontId="7" fillId="5" borderId="4" xfId="0" applyNumberFormat="1" applyFont="1" applyFill="1" applyBorder="1"/>
    <xf numFmtId="2" fontId="7" fillId="5" borderId="4" xfId="0" applyNumberFormat="1" applyFont="1" applyFill="1" applyBorder="1"/>
    <xf numFmtId="0" fontId="7" fillId="0" borderId="0" xfId="0" applyFont="1"/>
    <xf numFmtId="0" fontId="14" fillId="0" borderId="0" xfId="0" applyFont="1"/>
    <xf numFmtId="0" fontId="15" fillId="0" borderId="6" xfId="4" applyFont="1" applyBorder="1" applyAlignment="1">
      <alignment horizontal="right" wrapText="1"/>
    </xf>
    <xf numFmtId="165" fontId="7" fillId="0" borderId="0" xfId="0" applyNumberFormat="1" applyFont="1"/>
    <xf numFmtId="2" fontId="15" fillId="0" borderId="0" xfId="5" applyNumberFormat="1" applyFont="1"/>
    <xf numFmtId="2" fontId="14" fillId="0" borderId="0" xfId="0" applyNumberFormat="1" applyFont="1"/>
    <xf numFmtId="164" fontId="7" fillId="0" borderId="0" xfId="0" applyNumberFormat="1" applyFont="1"/>
    <xf numFmtId="0" fontId="15" fillId="0" borderId="0" xfId="4" applyFont="1" applyAlignment="1">
      <alignment horizontal="right" wrapText="1"/>
    </xf>
    <xf numFmtId="0" fontId="14" fillId="0" borderId="0" xfId="0" applyFont="1" applyAlignment="1">
      <alignment horizontal="right"/>
    </xf>
    <xf numFmtId="164" fontId="14" fillId="0" borderId="0" xfId="0" applyNumberFormat="1" applyFont="1"/>
    <xf numFmtId="9" fontId="14" fillId="0" borderId="0" xfId="2" applyFont="1"/>
    <xf numFmtId="0" fontId="14" fillId="0" borderId="0" xfId="0" quotePrefix="1" applyFont="1"/>
    <xf numFmtId="0" fontId="13" fillId="2" borderId="1" xfId="3" applyFont="1" applyFill="1" applyBorder="1" applyAlignment="1">
      <alignment horizontal="center"/>
    </xf>
    <xf numFmtId="0" fontId="13" fillId="2" borderId="7" xfId="3" applyFont="1" applyFill="1" applyBorder="1" applyAlignment="1">
      <alignment horizontal="center"/>
    </xf>
    <xf numFmtId="2" fontId="12" fillId="2" borderId="1" xfId="6" applyNumberFormat="1" applyFont="1" applyFill="1" applyBorder="1" applyAlignment="1">
      <alignment horizontal="center"/>
    </xf>
    <xf numFmtId="0" fontId="15" fillId="2" borderId="1" xfId="6" applyFont="1" applyFill="1" applyBorder="1" applyAlignment="1">
      <alignment horizontal="center"/>
    </xf>
    <xf numFmtId="0" fontId="13" fillId="0" borderId="2" xfId="3" applyFont="1" applyBorder="1" applyAlignment="1">
      <alignment horizontal="center" wrapText="1"/>
    </xf>
    <xf numFmtId="0" fontId="13" fillId="0" borderId="2" xfId="3" applyFont="1" applyBorder="1" applyAlignment="1">
      <alignment wrapText="1"/>
    </xf>
    <xf numFmtId="0" fontId="13" fillId="0" borderId="8" xfId="3" applyFont="1" applyBorder="1" applyAlignment="1">
      <alignment horizontal="right" wrapText="1"/>
    </xf>
    <xf numFmtId="12" fontId="13" fillId="0" borderId="0" xfId="5" applyNumberFormat="1" applyFont="1"/>
    <xf numFmtId="0" fontId="13" fillId="0" borderId="9" xfId="3" applyFont="1" applyBorder="1" applyAlignment="1">
      <alignment horizontal="right" wrapText="1"/>
    </xf>
    <xf numFmtId="0" fontId="13" fillId="0" borderId="2" xfId="3" applyFont="1" applyBorder="1" applyAlignment="1">
      <alignment horizontal="right" wrapText="1"/>
    </xf>
    <xf numFmtId="12" fontId="15" fillId="6" borderId="5" xfId="5" applyNumberFormat="1" applyFont="1" applyFill="1" applyBorder="1"/>
  </cellXfs>
  <cellStyles count="7">
    <cellStyle name="Comma" xfId="1" builtinId="3"/>
    <cellStyle name="Normal" xfId="0" builtinId="0"/>
    <cellStyle name="Normal_Sheet1" xfId="5" xr:uid="{96BFC062-BA98-4993-82D4-A67E2D0BB8A5}"/>
    <cellStyle name="Normal_Stats12" xfId="4" xr:uid="{CE90167A-5EFA-4BD6-8E6B-713E6C28AFD4}"/>
    <cellStyle name="Normal_Stats15" xfId="6" xr:uid="{A841206F-F283-4DCD-BBED-94CAE5A90CE4}"/>
    <cellStyle name="Normal_Stats2013 2" xfId="3" xr:uid="{886642A0-C45F-4522-B846-8E933EEC178A}"/>
    <cellStyle name="Percent" xfId="2" builtinId="5"/>
  </cellStyles>
  <dxfs count="113"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FFFF99"/>
        </patternFill>
      </fill>
    </dxf>
    <dxf>
      <fill>
        <patternFill>
          <bgColor indexed="42"/>
        </patternFill>
      </fill>
    </dxf>
    <dxf>
      <fill>
        <patternFill>
          <bgColor rgb="FF92D050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color rgb="FF006100"/>
      </font>
      <fill>
        <patternFill>
          <bgColor rgb="FFC6EFCE"/>
        </patternFill>
      </fill>
    </dxf>
    <dxf>
      <font>
        <b/>
        <i val="0"/>
      </font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auto="1"/>
      </font>
      <fill>
        <patternFill>
          <bgColor theme="5" tint="0.59996337778862885"/>
        </patternFill>
      </fill>
    </dxf>
    <dxf>
      <numFmt numFmtId="17" formatCode="#\ ?/?"/>
      <fill>
        <patternFill>
          <bgColor theme="8" tint="0.59996337778862885"/>
        </patternFill>
      </fill>
    </dxf>
    <dxf>
      <numFmt numFmtId="17" formatCode="#\ ?/?"/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ont>
        <b/>
        <i val="0"/>
        <color theme="9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23</xdr:row>
      <xdr:rowOff>57150</xdr:rowOff>
    </xdr:from>
    <xdr:to>
      <xdr:col>3</xdr:col>
      <xdr:colOff>95250</xdr:colOff>
      <xdr:row>30</xdr:row>
      <xdr:rowOff>238125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3430D7-5C63-4407-82ED-ABA245B8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781425"/>
          <a:ext cx="1314450" cy="1314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A69A7-A699-4F88-83F9-9BA85946F00A}">
  <sheetPr>
    <pageSetUpPr fitToPage="1"/>
  </sheetPr>
  <dimension ref="A1:AC56"/>
  <sheetViews>
    <sheetView tabSelected="1" workbookViewId="0">
      <pane xSplit="4" ySplit="3" topLeftCell="E4" activePane="bottomRight" state="frozen"/>
      <selection pane="topRight" activeCell="D1" sqref="D1"/>
      <selection pane="bottomLeft" activeCell="A3" sqref="A3"/>
      <selection pane="bottomRight" activeCell="M41" sqref="M41"/>
    </sheetView>
  </sheetViews>
  <sheetFormatPr defaultRowHeight="12.75" x14ac:dyDescent="0.2"/>
  <cols>
    <col min="1" max="1" width="5.5703125" customWidth="1"/>
    <col min="2" max="2" width="8.28515625" bestFit="1" customWidth="1"/>
    <col min="3" max="3" width="4.42578125" bestFit="1" customWidth="1"/>
    <col min="4" max="4" width="13.85546875" customWidth="1"/>
    <col min="5" max="5" width="7.140625" customWidth="1"/>
    <col min="6" max="6" width="8.42578125" customWidth="1"/>
    <col min="7" max="7" width="8.85546875" bestFit="1" customWidth="1"/>
    <col min="8" max="8" width="5.28515625" customWidth="1"/>
    <col min="9" max="9" width="5.28515625" bestFit="1" customWidth="1"/>
    <col min="10" max="10" width="5" customWidth="1"/>
    <col min="11" max="11" width="5.28515625" bestFit="1" customWidth="1"/>
    <col min="12" max="12" width="6.140625" bestFit="1" customWidth="1"/>
    <col min="13" max="14" width="5.28515625" bestFit="1" customWidth="1"/>
    <col min="15" max="15" width="5.140625" bestFit="1" customWidth="1"/>
    <col min="16" max="16" width="5.140625" customWidth="1"/>
    <col min="17" max="17" width="5.5703125" customWidth="1"/>
    <col min="18" max="18" width="5" bestFit="1" customWidth="1"/>
    <col min="19" max="19" width="4.28515625" customWidth="1"/>
    <col min="20" max="20" width="4.5703125" customWidth="1"/>
    <col min="21" max="21" width="5.7109375" bestFit="1" customWidth="1"/>
    <col min="22" max="24" width="5.5703125" customWidth="1"/>
    <col min="25" max="27" width="7.42578125" bestFit="1" customWidth="1"/>
    <col min="28" max="29" width="6.42578125" customWidth="1"/>
  </cols>
  <sheetData>
    <row r="1" spans="1:29" x14ac:dyDescent="0.2">
      <c r="W1" s="1"/>
      <c r="X1" s="1"/>
      <c r="Y1" s="1"/>
      <c r="Z1" s="1"/>
      <c r="AA1" s="1"/>
      <c r="AB1" s="1"/>
      <c r="AC1" s="1"/>
    </row>
    <row r="2" spans="1:29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s="5" customFormat="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18</v>
      </c>
      <c r="S3" s="2" t="s">
        <v>19</v>
      </c>
      <c r="T3" s="2" t="s">
        <v>20</v>
      </c>
      <c r="U3" s="2" t="s">
        <v>21</v>
      </c>
      <c r="V3" s="2" t="s">
        <v>22</v>
      </c>
      <c r="W3" s="2" t="s">
        <v>23</v>
      </c>
      <c r="X3" s="2" t="s">
        <v>24</v>
      </c>
      <c r="Y3" s="2" t="s">
        <v>25</v>
      </c>
      <c r="Z3" s="2" t="s">
        <v>26</v>
      </c>
      <c r="AA3" s="2" t="s">
        <v>27</v>
      </c>
      <c r="AB3" s="2" t="s">
        <v>28</v>
      </c>
      <c r="AC3" s="3" t="s">
        <v>29</v>
      </c>
    </row>
    <row r="4" spans="1:29" x14ac:dyDescent="0.2">
      <c r="A4" s="6">
        <v>60</v>
      </c>
      <c r="B4" s="7">
        <v>58</v>
      </c>
      <c r="C4" s="8" t="s">
        <v>30</v>
      </c>
      <c r="D4" s="9" t="s">
        <v>31</v>
      </c>
      <c r="E4" s="6">
        <v>2</v>
      </c>
      <c r="F4" s="6">
        <v>2</v>
      </c>
      <c r="G4" s="6">
        <v>2</v>
      </c>
      <c r="H4" s="6">
        <v>1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1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1</v>
      </c>
      <c r="X4" s="10">
        <f t="shared" ref="X4:X22" si="0">IF(F4=0,0,H4/F4)</f>
        <v>0.5</v>
      </c>
      <c r="Y4" s="10">
        <f t="shared" ref="Y4:Y22" si="1">IF(G4=0,0,(H4+N4)/(G4-S4))</f>
        <v>0.5</v>
      </c>
      <c r="Z4" s="10">
        <f t="shared" ref="Z4:Z22" si="2">IF(F4=0,0,W4/F4)</f>
        <v>0.5</v>
      </c>
      <c r="AA4" s="10">
        <f t="shared" ref="AA4:AA22" si="3">IF(F4*G4=0,0,Y4+Z4)</f>
        <v>1</v>
      </c>
      <c r="AB4" s="11">
        <f t="shared" ref="AB4:AB22" si="4">IF(G4=0,0,Y4*W4)</f>
        <v>0.5</v>
      </c>
      <c r="AC4" s="10">
        <f t="shared" ref="AC4:AC22" si="5">IF(F4=0,0,AB4/F4)</f>
        <v>0.25</v>
      </c>
    </row>
    <row r="5" spans="1:29" x14ac:dyDescent="0.2">
      <c r="A5" s="6">
        <v>301</v>
      </c>
      <c r="B5" s="7">
        <v>227</v>
      </c>
      <c r="C5" s="8" t="s">
        <v>30</v>
      </c>
      <c r="D5" s="9" t="s">
        <v>32</v>
      </c>
      <c r="E5" s="6">
        <v>29</v>
      </c>
      <c r="F5" s="6">
        <v>74</v>
      </c>
      <c r="G5" s="6">
        <v>80</v>
      </c>
      <c r="H5" s="6">
        <v>33</v>
      </c>
      <c r="I5" s="6">
        <v>11</v>
      </c>
      <c r="J5" s="6">
        <v>20</v>
      </c>
      <c r="K5" s="6">
        <v>7</v>
      </c>
      <c r="L5" s="6">
        <v>0</v>
      </c>
      <c r="M5" s="6">
        <v>8</v>
      </c>
      <c r="N5" s="6">
        <v>5</v>
      </c>
      <c r="O5" s="6">
        <v>9</v>
      </c>
      <c r="P5" s="6">
        <v>1</v>
      </c>
      <c r="Q5" s="6">
        <v>0</v>
      </c>
      <c r="R5" s="6">
        <v>0</v>
      </c>
      <c r="S5" s="6">
        <v>0</v>
      </c>
      <c r="T5" s="6">
        <v>1</v>
      </c>
      <c r="U5" s="6">
        <v>2</v>
      </c>
      <c r="V5" s="6">
        <v>2</v>
      </c>
      <c r="W5" s="6">
        <v>64</v>
      </c>
      <c r="X5" s="10">
        <f t="shared" si="0"/>
        <v>0.44594594594594594</v>
      </c>
      <c r="Y5" s="10">
        <f t="shared" si="1"/>
        <v>0.47499999999999998</v>
      </c>
      <c r="Z5" s="10">
        <f t="shared" si="2"/>
        <v>0.86486486486486491</v>
      </c>
      <c r="AA5" s="10">
        <f t="shared" si="3"/>
        <v>1.339864864864865</v>
      </c>
      <c r="AB5" s="11">
        <f t="shared" si="4"/>
        <v>30.4</v>
      </c>
      <c r="AC5" s="10">
        <f t="shared" si="5"/>
        <v>0.41081081081081078</v>
      </c>
    </row>
    <row r="6" spans="1:29" x14ac:dyDescent="0.2">
      <c r="A6" s="6">
        <v>62</v>
      </c>
      <c r="B6" s="7">
        <v>54</v>
      </c>
      <c r="C6" s="8" t="s">
        <v>30</v>
      </c>
      <c r="D6" s="9" t="s">
        <v>33</v>
      </c>
      <c r="E6" s="6">
        <v>9</v>
      </c>
      <c r="F6" s="6">
        <v>8</v>
      </c>
      <c r="G6" s="6">
        <v>10</v>
      </c>
      <c r="H6" s="6">
        <v>3</v>
      </c>
      <c r="I6" s="6">
        <v>1</v>
      </c>
      <c r="J6" s="6">
        <v>2</v>
      </c>
      <c r="K6" s="6">
        <v>1</v>
      </c>
      <c r="L6" s="6">
        <v>0</v>
      </c>
      <c r="M6" s="6">
        <v>1</v>
      </c>
      <c r="N6" s="6">
        <v>2</v>
      </c>
      <c r="O6" s="6">
        <v>2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7</v>
      </c>
      <c r="X6" s="10">
        <f t="shared" si="0"/>
        <v>0.375</v>
      </c>
      <c r="Y6" s="10">
        <f t="shared" si="1"/>
        <v>0.5</v>
      </c>
      <c r="Z6" s="10">
        <f t="shared" si="2"/>
        <v>0.875</v>
      </c>
      <c r="AA6" s="10">
        <f t="shared" si="3"/>
        <v>1.375</v>
      </c>
      <c r="AB6" s="11">
        <f t="shared" si="4"/>
        <v>3.5</v>
      </c>
      <c r="AC6" s="10">
        <f t="shared" si="5"/>
        <v>0.4375</v>
      </c>
    </row>
    <row r="7" spans="1:29" x14ac:dyDescent="0.2">
      <c r="A7" s="6">
        <v>513</v>
      </c>
      <c r="B7" s="7">
        <v>390</v>
      </c>
      <c r="C7" s="8" t="s">
        <v>30</v>
      </c>
      <c r="D7" s="9" t="s">
        <v>34</v>
      </c>
      <c r="E7" s="6">
        <v>30</v>
      </c>
      <c r="F7" s="6">
        <v>123</v>
      </c>
      <c r="G7" s="6">
        <v>133</v>
      </c>
      <c r="H7" s="6">
        <v>40</v>
      </c>
      <c r="I7" s="6">
        <v>16</v>
      </c>
      <c r="J7" s="6">
        <v>23</v>
      </c>
      <c r="K7" s="6">
        <v>11</v>
      </c>
      <c r="L7" s="6">
        <v>0</v>
      </c>
      <c r="M7" s="6">
        <v>7</v>
      </c>
      <c r="N7" s="6">
        <v>10</v>
      </c>
      <c r="O7" s="6">
        <v>33</v>
      </c>
      <c r="P7" s="6">
        <v>7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72</v>
      </c>
      <c r="X7" s="10">
        <f t="shared" si="0"/>
        <v>0.32520325203252032</v>
      </c>
      <c r="Y7" s="10">
        <f t="shared" si="1"/>
        <v>0.37593984962406013</v>
      </c>
      <c r="Z7" s="10">
        <f t="shared" si="2"/>
        <v>0.58536585365853655</v>
      </c>
      <c r="AA7" s="10">
        <f t="shared" si="3"/>
        <v>0.96130570328259668</v>
      </c>
      <c r="AB7" s="11">
        <f t="shared" si="4"/>
        <v>27.06766917293233</v>
      </c>
      <c r="AC7" s="10">
        <f t="shared" si="5"/>
        <v>0.22006235099944985</v>
      </c>
    </row>
    <row r="8" spans="1:29" x14ac:dyDescent="0.2">
      <c r="A8" s="6">
        <v>520</v>
      </c>
      <c r="B8" s="7">
        <v>427</v>
      </c>
      <c r="C8" s="8" t="s">
        <v>30</v>
      </c>
      <c r="D8" s="9" t="s">
        <v>35</v>
      </c>
      <c r="E8" s="6">
        <v>26</v>
      </c>
      <c r="F8" s="6">
        <v>93</v>
      </c>
      <c r="G8" s="6">
        <v>103</v>
      </c>
      <c r="H8" s="6">
        <v>27</v>
      </c>
      <c r="I8" s="6">
        <v>19</v>
      </c>
      <c r="J8" s="6">
        <v>16</v>
      </c>
      <c r="K8" s="6">
        <v>7</v>
      </c>
      <c r="L8" s="6">
        <v>0</v>
      </c>
      <c r="M8" s="6">
        <v>8</v>
      </c>
      <c r="N8" s="6">
        <v>9</v>
      </c>
      <c r="O8" s="6">
        <v>27</v>
      </c>
      <c r="P8" s="6">
        <v>0</v>
      </c>
      <c r="Q8" s="6">
        <v>4</v>
      </c>
      <c r="R8" s="6">
        <v>0</v>
      </c>
      <c r="S8" s="6">
        <v>1</v>
      </c>
      <c r="T8" s="6">
        <v>0</v>
      </c>
      <c r="U8" s="6">
        <v>0</v>
      </c>
      <c r="V8" s="6">
        <v>6</v>
      </c>
      <c r="W8" s="6">
        <v>58</v>
      </c>
      <c r="X8" s="10">
        <f t="shared" si="0"/>
        <v>0.29032258064516131</v>
      </c>
      <c r="Y8" s="10">
        <f t="shared" si="1"/>
        <v>0.35294117647058826</v>
      </c>
      <c r="Z8" s="10">
        <f t="shared" si="2"/>
        <v>0.62365591397849462</v>
      </c>
      <c r="AA8" s="10">
        <f t="shared" si="3"/>
        <v>0.97659709044908283</v>
      </c>
      <c r="AB8" s="11">
        <f t="shared" si="4"/>
        <v>20.47058823529412</v>
      </c>
      <c r="AC8" s="10">
        <f t="shared" si="5"/>
        <v>0.22011385199240988</v>
      </c>
    </row>
    <row r="9" spans="1:29" x14ac:dyDescent="0.2">
      <c r="A9" s="6">
        <v>443</v>
      </c>
      <c r="B9" s="7">
        <v>328</v>
      </c>
      <c r="C9" s="8" t="s">
        <v>30</v>
      </c>
      <c r="D9" s="9" t="s">
        <v>36</v>
      </c>
      <c r="E9" s="6">
        <v>30</v>
      </c>
      <c r="F9" s="6">
        <v>115</v>
      </c>
      <c r="G9" s="6">
        <v>127</v>
      </c>
      <c r="H9" s="6">
        <v>31</v>
      </c>
      <c r="I9" s="6">
        <v>20</v>
      </c>
      <c r="J9" s="6">
        <v>22</v>
      </c>
      <c r="K9" s="6">
        <v>6</v>
      </c>
      <c r="L9" s="6">
        <v>0</v>
      </c>
      <c r="M9" s="6">
        <v>9</v>
      </c>
      <c r="N9" s="6">
        <v>12</v>
      </c>
      <c r="O9" s="6">
        <v>37</v>
      </c>
      <c r="P9" s="6">
        <v>5</v>
      </c>
      <c r="Q9" s="6">
        <v>0</v>
      </c>
      <c r="R9" s="6">
        <v>0</v>
      </c>
      <c r="S9" s="6">
        <v>0</v>
      </c>
      <c r="T9" s="6">
        <v>0</v>
      </c>
      <c r="U9" s="6">
        <v>4</v>
      </c>
      <c r="V9" s="6">
        <v>2</v>
      </c>
      <c r="W9" s="6">
        <v>64</v>
      </c>
      <c r="X9" s="10">
        <f t="shared" si="0"/>
        <v>0.26956521739130435</v>
      </c>
      <c r="Y9" s="10">
        <f t="shared" si="1"/>
        <v>0.33858267716535434</v>
      </c>
      <c r="Z9" s="10">
        <f t="shared" si="2"/>
        <v>0.55652173913043479</v>
      </c>
      <c r="AA9" s="10">
        <f t="shared" si="3"/>
        <v>0.89510441629578907</v>
      </c>
      <c r="AB9" s="11">
        <f t="shared" si="4"/>
        <v>21.669291338582678</v>
      </c>
      <c r="AC9" s="10">
        <f t="shared" si="5"/>
        <v>0.18842862033550153</v>
      </c>
    </row>
    <row r="10" spans="1:29" x14ac:dyDescent="0.2">
      <c r="A10" s="6">
        <v>280</v>
      </c>
      <c r="B10" s="7">
        <v>205</v>
      </c>
      <c r="C10" s="8" t="s">
        <v>30</v>
      </c>
      <c r="D10" s="9" t="s">
        <v>37</v>
      </c>
      <c r="E10" s="6">
        <v>25</v>
      </c>
      <c r="F10" s="6">
        <v>75</v>
      </c>
      <c r="G10" s="6">
        <v>84</v>
      </c>
      <c r="H10" s="6">
        <v>19</v>
      </c>
      <c r="I10" s="6">
        <v>12</v>
      </c>
      <c r="J10" s="6">
        <v>17</v>
      </c>
      <c r="K10" s="6">
        <v>4</v>
      </c>
      <c r="L10" s="6">
        <v>0</v>
      </c>
      <c r="M10" s="6">
        <v>5</v>
      </c>
      <c r="N10" s="6">
        <v>8</v>
      </c>
      <c r="O10" s="6">
        <v>23</v>
      </c>
      <c r="P10" s="6">
        <v>2</v>
      </c>
      <c r="Q10" s="6">
        <v>0</v>
      </c>
      <c r="R10" s="6">
        <v>0</v>
      </c>
      <c r="S10" s="6">
        <v>0</v>
      </c>
      <c r="T10" s="6">
        <v>1</v>
      </c>
      <c r="U10" s="6">
        <v>0</v>
      </c>
      <c r="V10" s="6">
        <v>0</v>
      </c>
      <c r="W10" s="6">
        <v>38</v>
      </c>
      <c r="X10" s="10">
        <f t="shared" si="0"/>
        <v>0.25333333333333335</v>
      </c>
      <c r="Y10" s="10">
        <f t="shared" si="1"/>
        <v>0.32142857142857145</v>
      </c>
      <c r="Z10" s="10">
        <f t="shared" si="2"/>
        <v>0.50666666666666671</v>
      </c>
      <c r="AA10" s="10">
        <f t="shared" si="3"/>
        <v>0.82809523809523822</v>
      </c>
      <c r="AB10" s="11">
        <f t="shared" si="4"/>
        <v>12.214285714285715</v>
      </c>
      <c r="AC10" s="10">
        <f t="shared" si="5"/>
        <v>0.16285714285714287</v>
      </c>
    </row>
    <row r="11" spans="1:29" x14ac:dyDescent="0.2">
      <c r="A11" s="6">
        <v>459</v>
      </c>
      <c r="B11" s="7">
        <v>353</v>
      </c>
      <c r="C11" s="8" t="s">
        <v>38</v>
      </c>
      <c r="D11" s="9" t="s">
        <v>39</v>
      </c>
      <c r="E11" s="6">
        <v>30</v>
      </c>
      <c r="F11" s="6">
        <v>106</v>
      </c>
      <c r="G11" s="6">
        <v>119</v>
      </c>
      <c r="H11" s="6">
        <v>25</v>
      </c>
      <c r="I11" s="6">
        <v>20</v>
      </c>
      <c r="J11" s="6">
        <v>12</v>
      </c>
      <c r="K11" s="6">
        <v>5</v>
      </c>
      <c r="L11" s="6">
        <v>2</v>
      </c>
      <c r="M11" s="6">
        <v>3</v>
      </c>
      <c r="N11" s="6">
        <v>13</v>
      </c>
      <c r="O11" s="6">
        <v>24</v>
      </c>
      <c r="P11" s="6">
        <v>0</v>
      </c>
      <c r="Q11" s="6">
        <v>1</v>
      </c>
      <c r="R11" s="6">
        <v>1</v>
      </c>
      <c r="S11" s="6">
        <v>0</v>
      </c>
      <c r="T11" s="6">
        <v>0</v>
      </c>
      <c r="U11" s="6">
        <v>0</v>
      </c>
      <c r="V11" s="6">
        <v>10</v>
      </c>
      <c r="W11" s="6">
        <v>43</v>
      </c>
      <c r="X11" s="10">
        <f t="shared" si="0"/>
        <v>0.23584905660377359</v>
      </c>
      <c r="Y11" s="10">
        <f t="shared" si="1"/>
        <v>0.31932773109243695</v>
      </c>
      <c r="Z11" s="10">
        <f t="shared" si="2"/>
        <v>0.40566037735849059</v>
      </c>
      <c r="AA11" s="10">
        <f t="shared" si="3"/>
        <v>0.72498810845092754</v>
      </c>
      <c r="AB11" s="11">
        <f t="shared" si="4"/>
        <v>13.731092436974789</v>
      </c>
      <c r="AC11" s="10">
        <f t="shared" si="5"/>
        <v>0.12953860789598859</v>
      </c>
    </row>
    <row r="12" spans="1:29" x14ac:dyDescent="0.2">
      <c r="A12" s="6">
        <v>231</v>
      </c>
      <c r="B12" s="7">
        <v>205</v>
      </c>
      <c r="C12" s="8" t="s">
        <v>30</v>
      </c>
      <c r="D12" s="9" t="s">
        <v>40</v>
      </c>
      <c r="E12" s="6">
        <v>10</v>
      </c>
      <c r="F12" s="6">
        <v>26</v>
      </c>
      <c r="G12" s="6">
        <v>31</v>
      </c>
      <c r="H12" s="6">
        <v>6</v>
      </c>
      <c r="I12" s="6">
        <v>3</v>
      </c>
      <c r="J12" s="6">
        <v>1</v>
      </c>
      <c r="K12" s="6">
        <v>2</v>
      </c>
      <c r="L12" s="6">
        <v>0</v>
      </c>
      <c r="M12" s="6">
        <v>0</v>
      </c>
      <c r="N12" s="6">
        <v>5</v>
      </c>
      <c r="O12" s="6">
        <v>6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2</v>
      </c>
      <c r="V12" s="6">
        <v>4</v>
      </c>
      <c r="W12" s="6">
        <v>8</v>
      </c>
      <c r="X12" s="10">
        <f t="shared" si="0"/>
        <v>0.23076923076923078</v>
      </c>
      <c r="Y12" s="10">
        <f t="shared" si="1"/>
        <v>0.35483870967741937</v>
      </c>
      <c r="Z12" s="10">
        <f t="shared" si="2"/>
        <v>0.30769230769230771</v>
      </c>
      <c r="AA12" s="10">
        <f t="shared" si="3"/>
        <v>0.66253101736972708</v>
      </c>
      <c r="AB12" s="11">
        <f t="shared" si="4"/>
        <v>2.838709677419355</v>
      </c>
      <c r="AC12" s="10">
        <f t="shared" si="5"/>
        <v>0.10918114143920596</v>
      </c>
    </row>
    <row r="13" spans="1:29" x14ac:dyDescent="0.2">
      <c r="A13" s="6">
        <v>283</v>
      </c>
      <c r="B13" s="7">
        <v>270</v>
      </c>
      <c r="C13" s="8" t="s">
        <v>30</v>
      </c>
      <c r="D13" s="9" t="s">
        <v>41</v>
      </c>
      <c r="E13" s="6">
        <v>8</v>
      </c>
      <c r="F13" s="6">
        <v>13</v>
      </c>
      <c r="G13" s="6">
        <v>14</v>
      </c>
      <c r="H13" s="6">
        <v>3</v>
      </c>
      <c r="I13" s="6">
        <v>1</v>
      </c>
      <c r="J13" s="6">
        <v>1</v>
      </c>
      <c r="K13" s="6">
        <v>1</v>
      </c>
      <c r="L13" s="6">
        <v>0</v>
      </c>
      <c r="M13" s="6">
        <v>0</v>
      </c>
      <c r="N13" s="6">
        <v>1</v>
      </c>
      <c r="O13" s="6">
        <v>2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3</v>
      </c>
      <c r="W13" s="6">
        <v>4</v>
      </c>
      <c r="X13" s="10">
        <f t="shared" si="0"/>
        <v>0.23076923076923078</v>
      </c>
      <c r="Y13" s="10">
        <f t="shared" si="1"/>
        <v>0.2857142857142857</v>
      </c>
      <c r="Z13" s="10">
        <f t="shared" si="2"/>
        <v>0.30769230769230771</v>
      </c>
      <c r="AA13" s="10">
        <f t="shared" si="3"/>
        <v>0.59340659340659341</v>
      </c>
      <c r="AB13" s="11">
        <f t="shared" si="4"/>
        <v>1.1428571428571428</v>
      </c>
      <c r="AC13" s="10">
        <f t="shared" si="5"/>
        <v>8.7912087912087905E-2</v>
      </c>
    </row>
    <row r="14" spans="1:29" x14ac:dyDescent="0.2">
      <c r="A14" s="6">
        <v>445</v>
      </c>
      <c r="B14" s="7">
        <v>353</v>
      </c>
      <c r="C14" s="8" t="s">
        <v>30</v>
      </c>
      <c r="D14" s="9" t="s">
        <v>42</v>
      </c>
      <c r="E14" s="6">
        <v>27</v>
      </c>
      <c r="F14" s="6">
        <v>92</v>
      </c>
      <c r="G14" s="6">
        <v>111</v>
      </c>
      <c r="H14" s="6">
        <v>20</v>
      </c>
      <c r="I14" s="6">
        <v>16</v>
      </c>
      <c r="J14" s="6">
        <v>11</v>
      </c>
      <c r="K14" s="6">
        <v>6</v>
      </c>
      <c r="L14" s="6">
        <v>2</v>
      </c>
      <c r="M14" s="6">
        <v>1</v>
      </c>
      <c r="N14" s="6">
        <v>18</v>
      </c>
      <c r="O14" s="6">
        <v>25</v>
      </c>
      <c r="P14" s="6">
        <v>6</v>
      </c>
      <c r="Q14" s="6">
        <v>0</v>
      </c>
      <c r="R14" s="6">
        <v>0</v>
      </c>
      <c r="S14" s="6">
        <v>0</v>
      </c>
      <c r="T14" s="6">
        <v>1</v>
      </c>
      <c r="U14" s="6">
        <v>0</v>
      </c>
      <c r="V14" s="6">
        <v>4</v>
      </c>
      <c r="W14" s="6">
        <v>33</v>
      </c>
      <c r="X14" s="10">
        <f t="shared" si="0"/>
        <v>0.21739130434782608</v>
      </c>
      <c r="Y14" s="10">
        <f t="shared" si="1"/>
        <v>0.34234234234234234</v>
      </c>
      <c r="Z14" s="10">
        <f t="shared" si="2"/>
        <v>0.35869565217391303</v>
      </c>
      <c r="AA14" s="10">
        <f t="shared" si="3"/>
        <v>0.70103799451625537</v>
      </c>
      <c r="AB14" s="11">
        <f t="shared" si="4"/>
        <v>11.297297297297296</v>
      </c>
      <c r="AC14" s="10">
        <f t="shared" si="5"/>
        <v>0.12279670975323148</v>
      </c>
    </row>
    <row r="15" spans="1:29" x14ac:dyDescent="0.2">
      <c r="A15" s="6">
        <v>71</v>
      </c>
      <c r="B15" s="7">
        <v>57</v>
      </c>
      <c r="C15" s="8" t="s">
        <v>30</v>
      </c>
      <c r="D15" s="9" t="s">
        <v>43</v>
      </c>
      <c r="E15" s="6">
        <v>16</v>
      </c>
      <c r="F15" s="6">
        <v>14</v>
      </c>
      <c r="G15" s="6">
        <v>16</v>
      </c>
      <c r="H15" s="6">
        <v>3</v>
      </c>
      <c r="I15" s="6">
        <v>2</v>
      </c>
      <c r="J15" s="6">
        <v>1</v>
      </c>
      <c r="K15" s="6">
        <v>2</v>
      </c>
      <c r="L15" s="6">
        <v>0</v>
      </c>
      <c r="M15" s="6">
        <v>1</v>
      </c>
      <c r="N15" s="6">
        <v>2</v>
      </c>
      <c r="O15" s="6">
        <v>5</v>
      </c>
      <c r="P15" s="6">
        <v>0</v>
      </c>
      <c r="Q15" s="6">
        <v>1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8</v>
      </c>
      <c r="X15" s="10">
        <f t="shared" si="0"/>
        <v>0.21428571428571427</v>
      </c>
      <c r="Y15" s="10">
        <f t="shared" si="1"/>
        <v>0.3125</v>
      </c>
      <c r="Z15" s="10">
        <f t="shared" si="2"/>
        <v>0.5714285714285714</v>
      </c>
      <c r="AA15" s="10">
        <f t="shared" si="3"/>
        <v>0.8839285714285714</v>
      </c>
      <c r="AB15" s="11">
        <f t="shared" si="4"/>
        <v>2.5</v>
      </c>
      <c r="AC15" s="10">
        <f t="shared" si="5"/>
        <v>0.17857142857142858</v>
      </c>
    </row>
    <row r="16" spans="1:29" x14ac:dyDescent="0.2">
      <c r="A16" s="6">
        <v>441</v>
      </c>
      <c r="B16" s="7">
        <v>352</v>
      </c>
      <c r="C16" s="8" t="s">
        <v>38</v>
      </c>
      <c r="D16" s="9" t="s">
        <v>44</v>
      </c>
      <c r="E16" s="6">
        <v>26</v>
      </c>
      <c r="F16" s="6">
        <v>89</v>
      </c>
      <c r="G16" s="6">
        <v>100</v>
      </c>
      <c r="H16" s="6">
        <v>19</v>
      </c>
      <c r="I16" s="6">
        <v>11</v>
      </c>
      <c r="J16" s="6">
        <v>10</v>
      </c>
      <c r="K16" s="6">
        <v>1</v>
      </c>
      <c r="L16" s="6">
        <v>0</v>
      </c>
      <c r="M16" s="6">
        <v>4</v>
      </c>
      <c r="N16" s="6">
        <v>11</v>
      </c>
      <c r="O16" s="6">
        <v>27</v>
      </c>
      <c r="P16" s="6">
        <v>4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4</v>
      </c>
      <c r="W16" s="6">
        <v>32</v>
      </c>
      <c r="X16" s="10">
        <f t="shared" si="0"/>
        <v>0.21348314606741572</v>
      </c>
      <c r="Y16" s="10">
        <f t="shared" si="1"/>
        <v>0.3</v>
      </c>
      <c r="Z16" s="10">
        <f t="shared" si="2"/>
        <v>0.3595505617977528</v>
      </c>
      <c r="AA16" s="10">
        <f t="shared" si="3"/>
        <v>0.65955056179775284</v>
      </c>
      <c r="AB16" s="11">
        <f t="shared" si="4"/>
        <v>9.6</v>
      </c>
      <c r="AC16" s="10">
        <f t="shared" si="5"/>
        <v>0.10786516853932585</v>
      </c>
    </row>
    <row r="17" spans="1:29" x14ac:dyDescent="0.2">
      <c r="A17" s="6">
        <v>255</v>
      </c>
      <c r="B17" s="7">
        <v>211</v>
      </c>
      <c r="C17" s="8" t="s">
        <v>38</v>
      </c>
      <c r="D17" s="9" t="s">
        <v>45</v>
      </c>
      <c r="E17" s="6">
        <v>14</v>
      </c>
      <c r="F17" s="6">
        <v>44</v>
      </c>
      <c r="G17" s="6">
        <v>49</v>
      </c>
      <c r="H17" s="6">
        <v>9</v>
      </c>
      <c r="I17" s="6">
        <v>5</v>
      </c>
      <c r="J17" s="6">
        <v>2</v>
      </c>
      <c r="K17" s="6">
        <v>2</v>
      </c>
      <c r="L17" s="6">
        <v>1</v>
      </c>
      <c r="M17" s="6">
        <v>0</v>
      </c>
      <c r="N17" s="6">
        <v>5</v>
      </c>
      <c r="O17" s="6">
        <v>15</v>
      </c>
      <c r="P17" s="6">
        <v>2</v>
      </c>
      <c r="Q17" s="6">
        <v>1</v>
      </c>
      <c r="R17" s="6">
        <v>0</v>
      </c>
      <c r="S17" s="6">
        <v>0</v>
      </c>
      <c r="T17" s="6">
        <v>0</v>
      </c>
      <c r="U17" s="6">
        <v>1</v>
      </c>
      <c r="V17" s="6">
        <v>2</v>
      </c>
      <c r="W17" s="6">
        <v>13</v>
      </c>
      <c r="X17" s="10">
        <f t="shared" si="0"/>
        <v>0.20454545454545456</v>
      </c>
      <c r="Y17" s="10">
        <f t="shared" si="1"/>
        <v>0.2857142857142857</v>
      </c>
      <c r="Z17" s="10">
        <f t="shared" si="2"/>
        <v>0.29545454545454547</v>
      </c>
      <c r="AA17" s="10">
        <f t="shared" si="3"/>
        <v>0.58116883116883122</v>
      </c>
      <c r="AB17" s="11">
        <f t="shared" si="4"/>
        <v>3.714285714285714</v>
      </c>
      <c r="AC17" s="10">
        <f t="shared" si="5"/>
        <v>8.4415584415584402E-2</v>
      </c>
    </row>
    <row r="18" spans="1:29" x14ac:dyDescent="0.2">
      <c r="A18" s="6">
        <v>427</v>
      </c>
      <c r="B18" s="7">
        <v>337</v>
      </c>
      <c r="C18" s="8" t="s">
        <v>46</v>
      </c>
      <c r="D18" s="9" t="s">
        <v>47</v>
      </c>
      <c r="E18" s="6">
        <v>29</v>
      </c>
      <c r="F18" s="6">
        <v>90</v>
      </c>
      <c r="G18" s="6">
        <v>95</v>
      </c>
      <c r="H18" s="6">
        <v>17</v>
      </c>
      <c r="I18" s="6">
        <v>7</v>
      </c>
      <c r="J18" s="6">
        <v>6</v>
      </c>
      <c r="K18" s="6">
        <v>2</v>
      </c>
      <c r="L18" s="6">
        <v>3</v>
      </c>
      <c r="M18" s="6">
        <v>2</v>
      </c>
      <c r="N18" s="6">
        <v>5</v>
      </c>
      <c r="O18" s="6">
        <v>35</v>
      </c>
      <c r="P18" s="6">
        <v>2</v>
      </c>
      <c r="Q18" s="6">
        <v>5</v>
      </c>
      <c r="R18" s="6">
        <v>1</v>
      </c>
      <c r="S18" s="6">
        <v>0</v>
      </c>
      <c r="T18" s="6">
        <v>0</v>
      </c>
      <c r="U18" s="6">
        <v>3</v>
      </c>
      <c r="V18" s="6">
        <v>8</v>
      </c>
      <c r="W18" s="6">
        <v>31</v>
      </c>
      <c r="X18" s="10">
        <f t="shared" si="0"/>
        <v>0.18888888888888888</v>
      </c>
      <c r="Y18" s="10">
        <f t="shared" si="1"/>
        <v>0.23157894736842105</v>
      </c>
      <c r="Z18" s="10">
        <f t="shared" si="2"/>
        <v>0.34444444444444444</v>
      </c>
      <c r="AA18" s="10">
        <f t="shared" si="3"/>
        <v>0.57602339181286544</v>
      </c>
      <c r="AB18" s="11">
        <f t="shared" si="4"/>
        <v>7.1789473684210527</v>
      </c>
      <c r="AC18" s="10">
        <f t="shared" si="5"/>
        <v>7.9766081871345026E-2</v>
      </c>
    </row>
    <row r="19" spans="1:29" x14ac:dyDescent="0.2">
      <c r="A19" s="6">
        <v>439</v>
      </c>
      <c r="B19" s="7">
        <v>402</v>
      </c>
      <c r="C19" s="8" t="s">
        <v>30</v>
      </c>
      <c r="D19" s="9" t="s">
        <v>48</v>
      </c>
      <c r="E19" s="6">
        <v>22</v>
      </c>
      <c r="F19" s="6">
        <v>37</v>
      </c>
      <c r="G19" s="6">
        <v>40</v>
      </c>
      <c r="H19" s="6">
        <v>6</v>
      </c>
      <c r="I19" s="6">
        <v>7</v>
      </c>
      <c r="J19" s="6">
        <v>4</v>
      </c>
      <c r="K19" s="6">
        <v>2</v>
      </c>
      <c r="L19" s="6">
        <v>0</v>
      </c>
      <c r="M19" s="6">
        <v>1</v>
      </c>
      <c r="N19" s="6">
        <v>3</v>
      </c>
      <c r="O19" s="6">
        <v>5</v>
      </c>
      <c r="P19" s="6">
        <v>2</v>
      </c>
      <c r="Q19" s="6">
        <v>1</v>
      </c>
      <c r="R19" s="6">
        <v>0</v>
      </c>
      <c r="S19" s="6">
        <v>0</v>
      </c>
      <c r="T19" s="6">
        <v>0</v>
      </c>
      <c r="U19" s="6">
        <v>2</v>
      </c>
      <c r="V19" s="6">
        <v>1</v>
      </c>
      <c r="W19" s="6">
        <v>11</v>
      </c>
      <c r="X19" s="10">
        <f t="shared" si="0"/>
        <v>0.16216216216216217</v>
      </c>
      <c r="Y19" s="10">
        <f t="shared" si="1"/>
        <v>0.22500000000000001</v>
      </c>
      <c r="Z19" s="10">
        <f t="shared" si="2"/>
        <v>0.29729729729729731</v>
      </c>
      <c r="AA19" s="10">
        <f t="shared" si="3"/>
        <v>0.52229729729729735</v>
      </c>
      <c r="AB19" s="11">
        <f t="shared" si="4"/>
        <v>2.4750000000000001</v>
      </c>
      <c r="AC19" s="10">
        <f t="shared" si="5"/>
        <v>6.6891891891891889E-2</v>
      </c>
    </row>
    <row r="20" spans="1:29" x14ac:dyDescent="0.2">
      <c r="A20" s="6">
        <v>244</v>
      </c>
      <c r="B20" s="7">
        <v>218</v>
      </c>
      <c r="C20" s="8" t="s">
        <v>30</v>
      </c>
      <c r="D20" s="9" t="s">
        <v>49</v>
      </c>
      <c r="E20" s="6">
        <v>16</v>
      </c>
      <c r="F20" s="6">
        <v>26</v>
      </c>
      <c r="G20" s="6">
        <v>31</v>
      </c>
      <c r="H20" s="6">
        <v>3</v>
      </c>
      <c r="I20" s="6">
        <v>1</v>
      </c>
      <c r="J20" s="6">
        <v>0</v>
      </c>
      <c r="K20" s="6">
        <v>1</v>
      </c>
      <c r="L20" s="6">
        <v>0</v>
      </c>
      <c r="M20" s="6">
        <v>0</v>
      </c>
      <c r="N20" s="6">
        <v>5</v>
      </c>
      <c r="O20" s="6">
        <v>9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4</v>
      </c>
      <c r="X20" s="10">
        <f t="shared" si="0"/>
        <v>0.11538461538461539</v>
      </c>
      <c r="Y20" s="10">
        <f t="shared" si="1"/>
        <v>0.25806451612903225</v>
      </c>
      <c r="Z20" s="10">
        <f t="shared" si="2"/>
        <v>0.15384615384615385</v>
      </c>
      <c r="AA20" s="10">
        <f t="shared" si="3"/>
        <v>0.41191066997518611</v>
      </c>
      <c r="AB20" s="11">
        <f t="shared" si="4"/>
        <v>1.032258064516129</v>
      </c>
      <c r="AC20" s="10">
        <f t="shared" si="5"/>
        <v>3.9702233250620347E-2</v>
      </c>
    </row>
    <row r="21" spans="1:29" x14ac:dyDescent="0.2">
      <c r="A21" s="6">
        <v>100</v>
      </c>
      <c r="B21" s="7">
        <v>100</v>
      </c>
      <c r="C21" s="8" t="s">
        <v>30</v>
      </c>
      <c r="D21" s="9" t="s">
        <v>50</v>
      </c>
      <c r="E21" s="6">
        <v>1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2</v>
      </c>
      <c r="V21" s="6">
        <v>0</v>
      </c>
      <c r="W21" s="6">
        <v>0</v>
      </c>
      <c r="X21" s="10">
        <f t="shared" si="0"/>
        <v>0</v>
      </c>
      <c r="Y21" s="10">
        <f t="shared" si="1"/>
        <v>0</v>
      </c>
      <c r="Z21" s="10">
        <f t="shared" si="2"/>
        <v>0</v>
      </c>
      <c r="AA21" s="10">
        <f t="shared" si="3"/>
        <v>0</v>
      </c>
      <c r="AB21" s="11">
        <f t="shared" si="4"/>
        <v>0</v>
      </c>
      <c r="AC21" s="10">
        <f t="shared" si="5"/>
        <v>0</v>
      </c>
    </row>
    <row r="22" spans="1:29" s="5" customFormat="1" x14ac:dyDescent="0.2">
      <c r="A22" s="13"/>
      <c r="B22" s="14">
        <f>COUNTA(D4:D21)</f>
        <v>18</v>
      </c>
      <c r="C22" s="14"/>
      <c r="D22" s="15" t="s">
        <v>51</v>
      </c>
      <c r="E22" s="14">
        <f t="shared" ref="E22:W22" si="6">SUM(E4:E21)</f>
        <v>350</v>
      </c>
      <c r="F22" s="14">
        <f t="shared" si="6"/>
        <v>1027</v>
      </c>
      <c r="G22" s="14">
        <f t="shared" si="6"/>
        <v>1145</v>
      </c>
      <c r="H22" s="14">
        <f t="shared" si="6"/>
        <v>265</v>
      </c>
      <c r="I22" s="14">
        <f t="shared" si="6"/>
        <v>152</v>
      </c>
      <c r="J22" s="14">
        <f t="shared" si="6"/>
        <v>148</v>
      </c>
      <c r="K22" s="14">
        <f t="shared" si="6"/>
        <v>60</v>
      </c>
      <c r="L22" s="14">
        <f t="shared" si="6"/>
        <v>8</v>
      </c>
      <c r="M22" s="14">
        <f t="shared" si="6"/>
        <v>50</v>
      </c>
      <c r="N22" s="14">
        <f t="shared" si="6"/>
        <v>114</v>
      </c>
      <c r="O22" s="14">
        <f t="shared" si="6"/>
        <v>285</v>
      </c>
      <c r="P22" s="14">
        <f t="shared" si="6"/>
        <v>32</v>
      </c>
      <c r="Q22" s="14">
        <f t="shared" si="6"/>
        <v>13</v>
      </c>
      <c r="R22" s="14">
        <f t="shared" si="6"/>
        <v>2</v>
      </c>
      <c r="S22" s="14">
        <f t="shared" si="6"/>
        <v>1</v>
      </c>
      <c r="T22" s="14">
        <f t="shared" si="6"/>
        <v>3</v>
      </c>
      <c r="U22" s="14">
        <f t="shared" si="6"/>
        <v>16</v>
      </c>
      <c r="V22" s="14">
        <f t="shared" si="6"/>
        <v>46</v>
      </c>
      <c r="W22" s="14">
        <f t="shared" si="6"/>
        <v>491</v>
      </c>
      <c r="X22" s="16">
        <f t="shared" si="0"/>
        <v>0.25803310613437197</v>
      </c>
      <c r="Y22" s="16">
        <f t="shared" si="1"/>
        <v>0.3312937062937063</v>
      </c>
      <c r="Z22" s="16">
        <f t="shared" si="2"/>
        <v>0.47809152872444011</v>
      </c>
      <c r="AA22" s="16">
        <f t="shared" si="3"/>
        <v>0.80938523501814641</v>
      </c>
      <c r="AB22" s="17">
        <f t="shared" si="4"/>
        <v>162.66520979020979</v>
      </c>
      <c r="AC22" s="16">
        <f t="shared" si="5"/>
        <v>0.1583887144987437</v>
      </c>
    </row>
    <row r="23" spans="1:29" x14ac:dyDescent="0.2">
      <c r="A23" s="1"/>
      <c r="B23" s="1"/>
      <c r="C23" s="1"/>
      <c r="D23" s="18" t="s">
        <v>52</v>
      </c>
      <c r="E23" s="19">
        <f t="shared" ref="E23:W23" si="7">E22/$P$45</f>
        <v>11.666666666666666</v>
      </c>
      <c r="F23" s="19">
        <f t="shared" si="7"/>
        <v>34.233333333333334</v>
      </c>
      <c r="G23" s="19">
        <f t="shared" si="7"/>
        <v>38.166666666666664</v>
      </c>
      <c r="H23" s="4">
        <f t="shared" si="7"/>
        <v>8.8333333333333339</v>
      </c>
      <c r="I23" s="20">
        <f t="shared" si="7"/>
        <v>5.0666666666666664</v>
      </c>
      <c r="J23" s="4">
        <f t="shared" si="7"/>
        <v>4.9333333333333336</v>
      </c>
      <c r="K23" s="4">
        <f t="shared" si="7"/>
        <v>2</v>
      </c>
      <c r="L23" s="4">
        <f t="shared" si="7"/>
        <v>0.26666666666666666</v>
      </c>
      <c r="M23" s="19">
        <f t="shared" si="7"/>
        <v>1.6666666666666667</v>
      </c>
      <c r="N23" s="19">
        <f t="shared" si="7"/>
        <v>3.8</v>
      </c>
      <c r="O23" s="4">
        <f t="shared" si="7"/>
        <v>9.5</v>
      </c>
      <c r="P23" s="4">
        <f t="shared" si="7"/>
        <v>1.0666666666666667</v>
      </c>
      <c r="Q23" s="4">
        <f t="shared" si="7"/>
        <v>0.43333333333333335</v>
      </c>
      <c r="R23" s="4">
        <f t="shared" si="7"/>
        <v>6.6666666666666666E-2</v>
      </c>
      <c r="S23" s="4">
        <f t="shared" si="7"/>
        <v>3.3333333333333333E-2</v>
      </c>
      <c r="T23" s="4">
        <f t="shared" si="7"/>
        <v>0.1</v>
      </c>
      <c r="U23" s="4">
        <f t="shared" si="7"/>
        <v>0.53333333333333333</v>
      </c>
      <c r="V23" s="4">
        <f t="shared" si="7"/>
        <v>1.5333333333333334</v>
      </c>
      <c r="W23" s="4">
        <f t="shared" si="7"/>
        <v>16.366666666666667</v>
      </c>
      <c r="X23" s="1"/>
      <c r="Y23" s="1"/>
      <c r="Z23" s="1"/>
      <c r="AA23" s="1"/>
      <c r="AB23" s="21">
        <f>SUM(AB2:AB21)</f>
        <v>171.33228216286633</v>
      </c>
      <c r="AC23" s="22"/>
    </row>
    <row r="24" spans="1:29" x14ac:dyDescent="0.2">
      <c r="A24" s="1"/>
      <c r="B24" s="1"/>
      <c r="C24" s="1"/>
      <c r="D24" s="18" t="s">
        <v>53</v>
      </c>
      <c r="E24" s="23">
        <f t="shared" ref="E24:W24" si="8">E22/$F45</f>
        <v>1.309226932668329</v>
      </c>
      <c r="F24" s="23">
        <f t="shared" si="8"/>
        <v>3.8416458852867823</v>
      </c>
      <c r="G24" s="23">
        <f t="shared" si="8"/>
        <v>4.283042394014962</v>
      </c>
      <c r="H24" s="23">
        <f t="shared" si="8"/>
        <v>0.99127182044887763</v>
      </c>
      <c r="I24" s="23">
        <f t="shared" si="8"/>
        <v>0.56857855361595999</v>
      </c>
      <c r="J24" s="23">
        <f t="shared" si="8"/>
        <v>0.55361596009975056</v>
      </c>
      <c r="K24" s="23">
        <f t="shared" si="8"/>
        <v>0.2244389027431421</v>
      </c>
      <c r="L24" s="23">
        <f t="shared" si="8"/>
        <v>2.9925187032418948E-2</v>
      </c>
      <c r="M24" s="23">
        <f t="shared" si="8"/>
        <v>0.18703241895261843</v>
      </c>
      <c r="N24" s="23">
        <f t="shared" si="8"/>
        <v>0.42643391521196999</v>
      </c>
      <c r="O24" s="23">
        <f t="shared" si="8"/>
        <v>1.0660847880299251</v>
      </c>
      <c r="P24" s="23">
        <f t="shared" si="8"/>
        <v>0.11970074812967579</v>
      </c>
      <c r="Q24" s="23">
        <f t="shared" si="8"/>
        <v>4.8628428927680788E-2</v>
      </c>
      <c r="R24" s="23">
        <f t="shared" si="8"/>
        <v>7.4812967581047371E-3</v>
      </c>
      <c r="S24" s="23">
        <f t="shared" si="8"/>
        <v>3.7406483790523685E-3</v>
      </c>
      <c r="T24" s="23">
        <f t="shared" si="8"/>
        <v>1.1221945137157106E-2</v>
      </c>
      <c r="U24" s="23">
        <f t="shared" si="8"/>
        <v>5.9850374064837897E-2</v>
      </c>
      <c r="V24" s="23">
        <f t="shared" si="8"/>
        <v>0.17206982543640895</v>
      </c>
      <c r="W24" s="23">
        <f t="shared" si="8"/>
        <v>1.836658354114713</v>
      </c>
      <c r="X24" s="1"/>
      <c r="Y24" s="1"/>
      <c r="Z24" s="1"/>
      <c r="AA24" s="1"/>
      <c r="AB24" s="1"/>
      <c r="AC24" s="22"/>
    </row>
    <row r="25" spans="1:29" x14ac:dyDescent="0.2">
      <c r="A25" s="1"/>
      <c r="B25" s="1"/>
      <c r="C25" s="1"/>
      <c r="D25" s="24" t="s">
        <v>54</v>
      </c>
      <c r="E25" s="12">
        <f>130*E23</f>
        <v>1516.6666666666665</v>
      </c>
      <c r="F25" s="12">
        <f t="shared" ref="F25:W25" si="9">130*F23</f>
        <v>4450.333333333333</v>
      </c>
      <c r="G25" s="12">
        <f t="shared" si="9"/>
        <v>4961.6666666666661</v>
      </c>
      <c r="H25" s="12">
        <f t="shared" si="9"/>
        <v>1148.3333333333335</v>
      </c>
      <c r="I25" s="12">
        <f t="shared" si="9"/>
        <v>658.66666666666663</v>
      </c>
      <c r="J25" s="12">
        <f t="shared" si="9"/>
        <v>641.33333333333337</v>
      </c>
      <c r="K25" s="12">
        <f t="shared" si="9"/>
        <v>260</v>
      </c>
      <c r="L25" s="12">
        <f t="shared" si="9"/>
        <v>34.666666666666664</v>
      </c>
      <c r="M25" s="12">
        <f t="shared" si="9"/>
        <v>216.66666666666669</v>
      </c>
      <c r="N25" s="12">
        <f t="shared" si="9"/>
        <v>494</v>
      </c>
      <c r="O25" s="12">
        <f t="shared" si="9"/>
        <v>1235</v>
      </c>
      <c r="P25" s="12">
        <f t="shared" si="9"/>
        <v>138.66666666666666</v>
      </c>
      <c r="Q25" s="12">
        <f t="shared" si="9"/>
        <v>56.333333333333336</v>
      </c>
      <c r="R25" s="12">
        <f t="shared" si="9"/>
        <v>8.6666666666666661</v>
      </c>
      <c r="S25" s="12">
        <f t="shared" si="9"/>
        <v>4.333333333333333</v>
      </c>
      <c r="T25" s="12">
        <f t="shared" si="9"/>
        <v>13</v>
      </c>
      <c r="U25" s="12">
        <f t="shared" si="9"/>
        <v>69.333333333333329</v>
      </c>
      <c r="V25" s="12">
        <f t="shared" si="9"/>
        <v>199.33333333333334</v>
      </c>
      <c r="W25" s="12">
        <f t="shared" si="9"/>
        <v>2127.6666666666665</v>
      </c>
      <c r="X25" s="22">
        <f>X22</f>
        <v>0.25803310613437197</v>
      </c>
      <c r="Y25" s="22">
        <f t="shared" ref="Y25:AA25" si="10">Y22</f>
        <v>0.3312937062937063</v>
      </c>
      <c r="Z25" s="22">
        <f t="shared" si="10"/>
        <v>0.47809152872444011</v>
      </c>
      <c r="AA25" s="22">
        <f t="shared" si="10"/>
        <v>0.80938523501814641</v>
      </c>
      <c r="AB25" s="12"/>
      <c r="AC25" s="22"/>
    </row>
    <row r="26" spans="1:29" x14ac:dyDescent="0.2">
      <c r="A26" s="1"/>
      <c r="B26" s="1"/>
      <c r="C26" s="1"/>
      <c r="D26" s="1"/>
      <c r="E26" s="1"/>
      <c r="F26" s="1"/>
      <c r="G26" s="12">
        <f>3.1*P45</f>
        <v>93</v>
      </c>
      <c r="H26" s="1"/>
      <c r="I26" s="25">
        <f>I22/(H22+N22)</f>
        <v>0.40105540897097625</v>
      </c>
      <c r="J26" s="26" t="s">
        <v>55</v>
      </c>
      <c r="K26" s="1"/>
      <c r="L26" s="1"/>
      <c r="M26" s="25">
        <f>M22/H22</f>
        <v>0.18867924528301888</v>
      </c>
      <c r="N26" s="1" t="s">
        <v>56</v>
      </c>
      <c r="O26" s="1"/>
      <c r="P26" s="1"/>
      <c r="Q26" s="1"/>
      <c r="R26" s="25">
        <f>Q22/(Q22+R22)</f>
        <v>0.8666666666666667</v>
      </c>
      <c r="S26" s="1" t="s">
        <v>57</v>
      </c>
      <c r="T26" s="1"/>
      <c r="U26" s="1"/>
      <c r="V26" s="1"/>
      <c r="W26" s="24"/>
      <c r="X26" s="22"/>
      <c r="Y26" s="22"/>
      <c r="Z26" s="22"/>
      <c r="AA26" s="22"/>
      <c r="AB26" s="22"/>
      <c r="AC26" s="22"/>
    </row>
    <row r="27" spans="1:29" x14ac:dyDescent="0.2">
      <c r="A27" s="1"/>
      <c r="B27" s="1"/>
      <c r="C27" s="1"/>
      <c r="D27" s="1"/>
      <c r="E27" s="1"/>
      <c r="F27" s="1"/>
      <c r="G27" s="1">
        <f>130*3.1</f>
        <v>403</v>
      </c>
      <c r="H27" s="1"/>
      <c r="I27" s="25">
        <f>(I22-M22)/(H22+N22-M22)</f>
        <v>0.3100303951367781</v>
      </c>
      <c r="J27" s="1" t="s">
        <v>58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2"/>
      <c r="AC27" s="22"/>
    </row>
    <row r="31" spans="1:29" ht="25.5" x14ac:dyDescent="0.35">
      <c r="I31" s="27">
        <v>2020</v>
      </c>
      <c r="J31" s="27"/>
      <c r="K31" s="27"/>
      <c r="R31" s="28" t="s">
        <v>59</v>
      </c>
      <c r="T31" s="29">
        <f>P45</f>
        <v>30</v>
      </c>
      <c r="U31" s="29"/>
    </row>
    <row r="32" spans="1:29" x14ac:dyDescent="0.2">
      <c r="A32" s="30" t="s">
        <v>60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1"/>
      <c r="X32" s="1"/>
      <c r="Y32" s="1"/>
      <c r="Z32" s="1"/>
      <c r="AA32" s="1"/>
      <c r="AB32" s="1"/>
      <c r="AC32" s="30"/>
    </row>
    <row r="33" spans="1:29" s="5" customFormat="1" x14ac:dyDescent="0.2">
      <c r="A33" s="31" t="s">
        <v>61</v>
      </c>
      <c r="B33" s="31" t="s">
        <v>2</v>
      </c>
      <c r="C33" s="31" t="s">
        <v>62</v>
      </c>
      <c r="D33" s="31" t="s">
        <v>4</v>
      </c>
      <c r="E33" s="31" t="s">
        <v>63</v>
      </c>
      <c r="F33" s="31" t="s">
        <v>64</v>
      </c>
      <c r="G33" s="31" t="s">
        <v>65</v>
      </c>
      <c r="H33" s="31" t="s">
        <v>66</v>
      </c>
      <c r="I33" s="31" t="s">
        <v>30</v>
      </c>
      <c r="J33" s="31" t="s">
        <v>67</v>
      </c>
      <c r="K33" s="31" t="s">
        <v>68</v>
      </c>
      <c r="L33" s="31" t="s">
        <v>69</v>
      </c>
      <c r="M33" s="31" t="s">
        <v>13</v>
      </c>
      <c r="N33" s="31" t="s">
        <v>14</v>
      </c>
      <c r="O33" s="31" t="s">
        <v>15</v>
      </c>
      <c r="P33" s="31" t="s">
        <v>70</v>
      </c>
      <c r="Q33" s="31" t="s">
        <v>71</v>
      </c>
      <c r="R33" s="31" t="s">
        <v>72</v>
      </c>
      <c r="S33" s="31" t="s">
        <v>73</v>
      </c>
      <c r="T33" s="31" t="s">
        <v>38</v>
      </c>
      <c r="U33" s="31" t="s">
        <v>74</v>
      </c>
      <c r="V33" s="31" t="s">
        <v>75</v>
      </c>
      <c r="W33" s="31" t="s">
        <v>76</v>
      </c>
      <c r="X33" s="31" t="s">
        <v>77</v>
      </c>
      <c r="Y33" s="31" t="s">
        <v>78</v>
      </c>
      <c r="Z33" s="31" t="s">
        <v>79</v>
      </c>
      <c r="AA33" s="32" t="s">
        <v>80</v>
      </c>
      <c r="AB33" s="31" t="s">
        <v>81</v>
      </c>
      <c r="AC33" s="32" t="s">
        <v>82</v>
      </c>
    </row>
    <row r="34" spans="1:29" x14ac:dyDescent="0.2">
      <c r="A34" s="6">
        <v>59</v>
      </c>
      <c r="B34" s="33">
        <v>39.67</v>
      </c>
      <c r="C34" s="34" t="s">
        <v>30</v>
      </c>
      <c r="D34" s="35" t="s">
        <v>83</v>
      </c>
      <c r="E34" s="36">
        <v>13</v>
      </c>
      <c r="F34" s="37">
        <v>19.3333333333333</v>
      </c>
      <c r="G34" s="38">
        <v>73</v>
      </c>
      <c r="H34" s="38">
        <v>11</v>
      </c>
      <c r="I34" s="38">
        <v>4</v>
      </c>
      <c r="J34" s="38">
        <v>3</v>
      </c>
      <c r="K34" s="38">
        <v>16</v>
      </c>
      <c r="L34" s="38">
        <v>6</v>
      </c>
      <c r="M34" s="38">
        <v>1</v>
      </c>
      <c r="N34" s="38">
        <v>5</v>
      </c>
      <c r="O34" s="38">
        <v>25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2</v>
      </c>
      <c r="V34" s="38">
        <v>3</v>
      </c>
      <c r="W34" s="38">
        <v>0</v>
      </c>
      <c r="X34" s="10">
        <f t="shared" ref="X34:X44" si="11">IFERROR(H34/(G34-N34),"")</f>
        <v>0.16176470588235295</v>
      </c>
      <c r="Y34" s="10">
        <f t="shared" ref="Y34:Y44" si="12">IFERROR((H34+N34)/(G34),"")</f>
        <v>0.21917808219178081</v>
      </c>
      <c r="Z34" s="39">
        <f t="shared" ref="Z34:Z44" si="13">IFERROR(9*J34/F34,"")</f>
        <v>1.3965517241379335</v>
      </c>
      <c r="AA34" s="39">
        <f t="shared" ref="AA34:AA44" si="14">IFERROR(((13*M34+3*N34-2*O34)/F34)+4,"")</f>
        <v>2.8620689655172393</v>
      </c>
      <c r="AB34" s="10">
        <f t="shared" ref="AB34:AB44" si="15">IFERROR((N34+H34)/F34,"")</f>
        <v>0.82758620689655316</v>
      </c>
      <c r="AC34" s="40">
        <f t="shared" ref="AC34:AC45" si="16">IF((S34+T34)=0,0,S34/(S34+T34))</f>
        <v>0</v>
      </c>
    </row>
    <row r="35" spans="1:29" x14ac:dyDescent="0.2">
      <c r="A35" s="6">
        <v>139</v>
      </c>
      <c r="B35" s="33">
        <v>96.33</v>
      </c>
      <c r="C35" s="34" t="s">
        <v>30</v>
      </c>
      <c r="D35" s="35" t="s">
        <v>84</v>
      </c>
      <c r="E35" s="36">
        <v>6</v>
      </c>
      <c r="F35" s="37">
        <v>42.6666666666667</v>
      </c>
      <c r="G35" s="38">
        <v>172</v>
      </c>
      <c r="H35" s="38">
        <v>32</v>
      </c>
      <c r="I35" s="38">
        <v>12</v>
      </c>
      <c r="J35" s="38">
        <v>12</v>
      </c>
      <c r="K35" s="38">
        <v>46</v>
      </c>
      <c r="L35" s="38"/>
      <c r="M35" s="38">
        <v>2</v>
      </c>
      <c r="N35" s="38">
        <v>14</v>
      </c>
      <c r="O35" s="38">
        <v>37</v>
      </c>
      <c r="P35" s="38">
        <v>6</v>
      </c>
      <c r="Q35" s="38">
        <v>1</v>
      </c>
      <c r="R35" s="38">
        <v>2</v>
      </c>
      <c r="S35" s="38">
        <v>4</v>
      </c>
      <c r="T35" s="38">
        <v>1</v>
      </c>
      <c r="U35" s="38">
        <v>0</v>
      </c>
      <c r="V35" s="38">
        <v>0</v>
      </c>
      <c r="W35" s="38">
        <v>0</v>
      </c>
      <c r="X35" s="10">
        <f t="shared" si="11"/>
        <v>0.20253164556962025</v>
      </c>
      <c r="Y35" s="10">
        <f t="shared" si="12"/>
        <v>0.26744186046511625</v>
      </c>
      <c r="Z35" s="39">
        <f t="shared" si="13"/>
        <v>2.5312499999999982</v>
      </c>
      <c r="AA35" s="39">
        <f t="shared" si="14"/>
        <v>3.859375</v>
      </c>
      <c r="AB35" s="10">
        <f t="shared" si="15"/>
        <v>1.0781249999999991</v>
      </c>
      <c r="AC35" s="40">
        <f t="shared" si="16"/>
        <v>0.8</v>
      </c>
    </row>
    <row r="36" spans="1:29" x14ac:dyDescent="0.2">
      <c r="A36" s="6">
        <v>65</v>
      </c>
      <c r="B36" s="33">
        <v>51</v>
      </c>
      <c r="C36" s="34" t="s">
        <v>30</v>
      </c>
      <c r="D36" s="35" t="s">
        <v>85</v>
      </c>
      <c r="E36" s="36">
        <v>12</v>
      </c>
      <c r="F36" s="37">
        <v>14</v>
      </c>
      <c r="G36" s="38">
        <v>64</v>
      </c>
      <c r="H36" s="38">
        <v>12</v>
      </c>
      <c r="I36" s="38">
        <v>4</v>
      </c>
      <c r="J36" s="38">
        <v>4</v>
      </c>
      <c r="K36" s="38">
        <v>22</v>
      </c>
      <c r="L36" s="38">
        <v>13</v>
      </c>
      <c r="M36" s="38">
        <v>0</v>
      </c>
      <c r="N36" s="38">
        <v>10</v>
      </c>
      <c r="O36" s="38">
        <v>16</v>
      </c>
      <c r="P36" s="38">
        <v>0</v>
      </c>
      <c r="Q36" s="38">
        <v>0</v>
      </c>
      <c r="R36" s="38">
        <v>0</v>
      </c>
      <c r="S36" s="38">
        <v>0</v>
      </c>
      <c r="T36" s="38">
        <v>1</v>
      </c>
      <c r="U36" s="38">
        <v>5</v>
      </c>
      <c r="V36" s="38">
        <v>0</v>
      </c>
      <c r="W36" s="38">
        <v>0</v>
      </c>
      <c r="X36" s="10">
        <f t="shared" si="11"/>
        <v>0.22222222222222221</v>
      </c>
      <c r="Y36" s="10">
        <f t="shared" si="12"/>
        <v>0.34375</v>
      </c>
      <c r="Z36" s="39">
        <f t="shared" si="13"/>
        <v>2.5714285714285716</v>
      </c>
      <c r="AA36" s="39">
        <f t="shared" si="14"/>
        <v>3.8571428571428572</v>
      </c>
      <c r="AB36" s="10">
        <f t="shared" si="15"/>
        <v>1.5714285714285714</v>
      </c>
      <c r="AC36" s="40">
        <f t="shared" si="16"/>
        <v>0</v>
      </c>
    </row>
    <row r="37" spans="1:29" x14ac:dyDescent="0.2">
      <c r="A37" s="6">
        <v>172</v>
      </c>
      <c r="B37" s="33">
        <v>131</v>
      </c>
      <c r="C37" s="34" t="s">
        <v>30</v>
      </c>
      <c r="D37" s="35" t="s">
        <v>86</v>
      </c>
      <c r="E37" s="36">
        <v>6</v>
      </c>
      <c r="F37" s="37">
        <v>41</v>
      </c>
      <c r="G37" s="38">
        <v>173</v>
      </c>
      <c r="H37" s="38">
        <v>39</v>
      </c>
      <c r="I37" s="38">
        <v>13</v>
      </c>
      <c r="J37" s="38">
        <v>12</v>
      </c>
      <c r="K37" s="38">
        <v>52</v>
      </c>
      <c r="L37" s="38"/>
      <c r="M37" s="38">
        <v>5</v>
      </c>
      <c r="N37" s="38">
        <v>13</v>
      </c>
      <c r="O37" s="38">
        <v>41</v>
      </c>
      <c r="P37" s="38">
        <v>6</v>
      </c>
      <c r="Q37" s="38">
        <v>1</v>
      </c>
      <c r="R37" s="38">
        <v>2</v>
      </c>
      <c r="S37" s="38">
        <v>3</v>
      </c>
      <c r="T37" s="38">
        <v>2</v>
      </c>
      <c r="U37" s="38">
        <v>0</v>
      </c>
      <c r="V37" s="38">
        <v>0</v>
      </c>
      <c r="W37" s="38">
        <v>0</v>
      </c>
      <c r="X37" s="10">
        <f t="shared" si="11"/>
        <v>0.24374999999999999</v>
      </c>
      <c r="Y37" s="10">
        <f t="shared" si="12"/>
        <v>0.30057803468208094</v>
      </c>
      <c r="Z37" s="39">
        <f t="shared" si="13"/>
        <v>2.6341463414634148</v>
      </c>
      <c r="AA37" s="39">
        <f t="shared" si="14"/>
        <v>4.536585365853659</v>
      </c>
      <c r="AB37" s="10">
        <f t="shared" si="15"/>
        <v>1.2682926829268293</v>
      </c>
      <c r="AC37" s="40">
        <f t="shared" si="16"/>
        <v>0.6</v>
      </c>
    </row>
    <row r="38" spans="1:29" x14ac:dyDescent="0.2">
      <c r="A38" s="6">
        <v>154</v>
      </c>
      <c r="B38" s="33">
        <v>112</v>
      </c>
      <c r="C38" s="34" t="s">
        <v>30</v>
      </c>
      <c r="D38" s="35" t="s">
        <v>87</v>
      </c>
      <c r="E38" s="36">
        <v>6</v>
      </c>
      <c r="F38" s="37">
        <v>42</v>
      </c>
      <c r="G38" s="38">
        <v>182</v>
      </c>
      <c r="H38" s="38">
        <v>41</v>
      </c>
      <c r="I38" s="38">
        <v>21</v>
      </c>
      <c r="J38" s="38">
        <v>20</v>
      </c>
      <c r="K38" s="38">
        <v>57</v>
      </c>
      <c r="L38" s="38"/>
      <c r="M38" s="38">
        <v>6</v>
      </c>
      <c r="N38" s="38">
        <v>16</v>
      </c>
      <c r="O38" s="38">
        <v>21</v>
      </c>
      <c r="P38" s="38">
        <v>6</v>
      </c>
      <c r="Q38" s="38">
        <v>1</v>
      </c>
      <c r="R38" s="38">
        <v>1</v>
      </c>
      <c r="S38" s="38">
        <v>4</v>
      </c>
      <c r="T38" s="38">
        <v>2</v>
      </c>
      <c r="U38" s="38">
        <v>0</v>
      </c>
      <c r="V38" s="38">
        <v>0</v>
      </c>
      <c r="W38" s="38">
        <v>0</v>
      </c>
      <c r="X38" s="10">
        <f t="shared" si="11"/>
        <v>0.24698795180722891</v>
      </c>
      <c r="Y38" s="10">
        <f t="shared" si="12"/>
        <v>0.31318681318681318</v>
      </c>
      <c r="Z38" s="39">
        <f t="shared" si="13"/>
        <v>4.2857142857142856</v>
      </c>
      <c r="AA38" s="39">
        <f t="shared" si="14"/>
        <v>6</v>
      </c>
      <c r="AB38" s="10">
        <f t="shared" si="15"/>
        <v>1.3571428571428572</v>
      </c>
      <c r="AC38" s="40">
        <f t="shared" si="16"/>
        <v>0.66666666666666663</v>
      </c>
    </row>
    <row r="39" spans="1:29" x14ac:dyDescent="0.2">
      <c r="A39" s="6">
        <v>137</v>
      </c>
      <c r="B39" s="33">
        <v>104</v>
      </c>
      <c r="C39" s="34" t="s">
        <v>38</v>
      </c>
      <c r="D39" s="35" t="s">
        <v>88</v>
      </c>
      <c r="E39" s="36">
        <v>14</v>
      </c>
      <c r="F39" s="37">
        <v>33</v>
      </c>
      <c r="G39" s="38">
        <v>153</v>
      </c>
      <c r="H39" s="38">
        <v>43</v>
      </c>
      <c r="I39" s="38">
        <v>17</v>
      </c>
      <c r="J39" s="38">
        <v>16</v>
      </c>
      <c r="K39" s="38">
        <v>57</v>
      </c>
      <c r="L39" s="38">
        <v>-2</v>
      </c>
      <c r="M39" s="38">
        <v>6</v>
      </c>
      <c r="N39" s="38">
        <v>14</v>
      </c>
      <c r="O39" s="38">
        <v>30</v>
      </c>
      <c r="P39" s="38">
        <v>0</v>
      </c>
      <c r="Q39" s="38">
        <v>0</v>
      </c>
      <c r="R39" s="38">
        <v>0</v>
      </c>
      <c r="S39" s="38">
        <v>1</v>
      </c>
      <c r="T39" s="38">
        <v>1</v>
      </c>
      <c r="U39" s="38">
        <v>0</v>
      </c>
      <c r="V39" s="38">
        <v>0</v>
      </c>
      <c r="W39" s="38">
        <v>1</v>
      </c>
      <c r="X39" s="10">
        <f t="shared" si="11"/>
        <v>0.30935251798561153</v>
      </c>
      <c r="Y39" s="10">
        <f t="shared" si="12"/>
        <v>0.37254901960784315</v>
      </c>
      <c r="Z39" s="39">
        <f t="shared" si="13"/>
        <v>4.3636363636363633</v>
      </c>
      <c r="AA39" s="39">
        <f t="shared" si="14"/>
        <v>5.8181818181818183</v>
      </c>
      <c r="AB39" s="10">
        <f t="shared" si="15"/>
        <v>1.7272727272727273</v>
      </c>
      <c r="AC39" s="40">
        <f t="shared" si="16"/>
        <v>0.5</v>
      </c>
    </row>
    <row r="40" spans="1:29" x14ac:dyDescent="0.2">
      <c r="A40" s="6">
        <v>27</v>
      </c>
      <c r="B40" s="33">
        <v>11.33</v>
      </c>
      <c r="C40" s="34" t="s">
        <v>30</v>
      </c>
      <c r="D40" s="35" t="s">
        <v>89</v>
      </c>
      <c r="E40" s="36">
        <v>3</v>
      </c>
      <c r="F40" s="37">
        <v>15.6666666666667</v>
      </c>
      <c r="G40" s="38">
        <v>67</v>
      </c>
      <c r="H40" s="38">
        <v>12</v>
      </c>
      <c r="I40" s="38">
        <v>9</v>
      </c>
      <c r="J40" s="38">
        <v>9</v>
      </c>
      <c r="K40" s="38">
        <v>19</v>
      </c>
      <c r="L40" s="38"/>
      <c r="M40" s="38">
        <v>3</v>
      </c>
      <c r="N40" s="38">
        <v>7</v>
      </c>
      <c r="O40" s="38">
        <v>9</v>
      </c>
      <c r="P40" s="38">
        <v>3</v>
      </c>
      <c r="Q40" s="38">
        <v>0</v>
      </c>
      <c r="R40" s="38">
        <v>0</v>
      </c>
      <c r="S40" s="38">
        <v>1</v>
      </c>
      <c r="T40" s="38">
        <v>0</v>
      </c>
      <c r="U40" s="38">
        <v>0</v>
      </c>
      <c r="V40" s="38">
        <v>0</v>
      </c>
      <c r="W40" s="38">
        <v>0</v>
      </c>
      <c r="X40" s="10">
        <f t="shared" si="11"/>
        <v>0.2</v>
      </c>
      <c r="Y40" s="10">
        <f t="shared" si="12"/>
        <v>0.28358208955223879</v>
      </c>
      <c r="Z40" s="39">
        <f t="shared" si="13"/>
        <v>5.1702127659574355</v>
      </c>
      <c r="AA40" s="39">
        <f t="shared" si="14"/>
        <v>6.6808510638297811</v>
      </c>
      <c r="AB40" s="10">
        <f t="shared" si="15"/>
        <v>1.2127659574468059</v>
      </c>
      <c r="AC40" s="40">
        <f t="shared" si="16"/>
        <v>1</v>
      </c>
    </row>
    <row r="41" spans="1:29" x14ac:dyDescent="0.2">
      <c r="A41" s="6">
        <v>72</v>
      </c>
      <c r="B41" s="33">
        <v>42</v>
      </c>
      <c r="C41" s="34" t="s">
        <v>30</v>
      </c>
      <c r="D41" s="35" t="s">
        <v>90</v>
      </c>
      <c r="E41" s="36">
        <v>6</v>
      </c>
      <c r="F41" s="37">
        <v>30</v>
      </c>
      <c r="G41" s="38">
        <v>140</v>
      </c>
      <c r="H41" s="38">
        <v>32</v>
      </c>
      <c r="I41" s="38">
        <v>28</v>
      </c>
      <c r="J41" s="38">
        <v>24</v>
      </c>
      <c r="K41" s="38">
        <v>50</v>
      </c>
      <c r="L41" s="38"/>
      <c r="M41" s="38">
        <v>11</v>
      </c>
      <c r="N41" s="38">
        <v>18</v>
      </c>
      <c r="O41" s="38">
        <v>30</v>
      </c>
      <c r="P41" s="38">
        <v>6</v>
      </c>
      <c r="Q41" s="38">
        <v>0</v>
      </c>
      <c r="R41" s="38">
        <v>0</v>
      </c>
      <c r="S41" s="38">
        <v>1</v>
      </c>
      <c r="T41" s="38">
        <v>5</v>
      </c>
      <c r="U41" s="38">
        <v>0</v>
      </c>
      <c r="V41" s="38">
        <v>0</v>
      </c>
      <c r="W41" s="38">
        <v>0</v>
      </c>
      <c r="X41" s="10">
        <f t="shared" si="11"/>
        <v>0.26229508196721313</v>
      </c>
      <c r="Y41" s="10">
        <f t="shared" si="12"/>
        <v>0.35714285714285715</v>
      </c>
      <c r="Z41" s="39">
        <f t="shared" si="13"/>
        <v>7.2</v>
      </c>
      <c r="AA41" s="39">
        <f t="shared" si="14"/>
        <v>8.5666666666666664</v>
      </c>
      <c r="AB41" s="10">
        <f t="shared" si="15"/>
        <v>1.6666666666666667</v>
      </c>
      <c r="AC41" s="40">
        <f t="shared" si="16"/>
        <v>0.16666666666666666</v>
      </c>
    </row>
    <row r="42" spans="1:29" x14ac:dyDescent="0.2">
      <c r="A42" s="6">
        <v>30</v>
      </c>
      <c r="B42" s="33">
        <v>19.329999999999998</v>
      </c>
      <c r="C42" s="34" t="s">
        <v>30</v>
      </c>
      <c r="D42" s="35" t="s">
        <v>91</v>
      </c>
      <c r="E42" s="36">
        <v>11</v>
      </c>
      <c r="F42" s="37">
        <v>10.6666666666667</v>
      </c>
      <c r="G42" s="38">
        <v>53</v>
      </c>
      <c r="H42" s="38">
        <v>14</v>
      </c>
      <c r="I42" s="38">
        <v>9</v>
      </c>
      <c r="J42" s="38">
        <v>9</v>
      </c>
      <c r="K42" s="38">
        <v>23</v>
      </c>
      <c r="L42" s="38">
        <v>0</v>
      </c>
      <c r="M42" s="38">
        <v>0</v>
      </c>
      <c r="N42" s="38">
        <v>9</v>
      </c>
      <c r="O42" s="38">
        <v>10</v>
      </c>
      <c r="P42" s="38">
        <v>0</v>
      </c>
      <c r="Q42" s="38">
        <v>0</v>
      </c>
      <c r="R42" s="38">
        <v>0</v>
      </c>
      <c r="S42" s="38">
        <v>0</v>
      </c>
      <c r="T42" s="38">
        <v>0</v>
      </c>
      <c r="U42" s="38">
        <v>0</v>
      </c>
      <c r="V42" s="38">
        <v>2</v>
      </c>
      <c r="W42" s="38">
        <v>0</v>
      </c>
      <c r="X42" s="10">
        <f t="shared" si="11"/>
        <v>0.31818181818181818</v>
      </c>
      <c r="Y42" s="10">
        <f t="shared" si="12"/>
        <v>0.43396226415094341</v>
      </c>
      <c r="Z42" s="39">
        <f t="shared" si="13"/>
        <v>7.593749999999976</v>
      </c>
      <c r="AA42" s="39">
        <f t="shared" si="14"/>
        <v>4.6562499999999982</v>
      </c>
      <c r="AB42" s="10">
        <f t="shared" si="15"/>
        <v>2.1562499999999933</v>
      </c>
      <c r="AC42" s="40">
        <f t="shared" si="16"/>
        <v>0</v>
      </c>
    </row>
    <row r="43" spans="1:29" x14ac:dyDescent="0.2">
      <c r="A43" s="6">
        <v>37</v>
      </c>
      <c r="B43" s="33">
        <v>29.33</v>
      </c>
      <c r="C43" s="34" t="s">
        <v>30</v>
      </c>
      <c r="D43" s="35" t="s">
        <v>92</v>
      </c>
      <c r="E43" s="36">
        <v>7</v>
      </c>
      <c r="F43" s="37">
        <v>7.6666666666666696</v>
      </c>
      <c r="G43" s="38">
        <v>37</v>
      </c>
      <c r="H43" s="38">
        <v>8</v>
      </c>
      <c r="I43" s="38">
        <v>8</v>
      </c>
      <c r="J43" s="38">
        <v>8</v>
      </c>
      <c r="K43" s="38">
        <v>14</v>
      </c>
      <c r="L43" s="38">
        <v>-2</v>
      </c>
      <c r="M43" s="38">
        <v>1</v>
      </c>
      <c r="N43" s="38">
        <v>6</v>
      </c>
      <c r="O43" s="38">
        <v>5</v>
      </c>
      <c r="P43" s="38">
        <v>0</v>
      </c>
      <c r="Q43" s="38">
        <v>0</v>
      </c>
      <c r="R43" s="38">
        <v>0</v>
      </c>
      <c r="S43" s="38">
        <v>1</v>
      </c>
      <c r="T43" s="38">
        <v>1</v>
      </c>
      <c r="U43" s="38">
        <v>0</v>
      </c>
      <c r="V43" s="38">
        <v>0</v>
      </c>
      <c r="W43" s="38">
        <v>1</v>
      </c>
      <c r="X43" s="10">
        <f t="shared" si="11"/>
        <v>0.25806451612903225</v>
      </c>
      <c r="Y43" s="10">
        <f t="shared" si="12"/>
        <v>0.3783783783783784</v>
      </c>
      <c r="Z43" s="39">
        <f t="shared" si="13"/>
        <v>9.3913043478260825</v>
      </c>
      <c r="AA43" s="39">
        <f t="shared" si="14"/>
        <v>6.7391304347826075</v>
      </c>
      <c r="AB43" s="10">
        <f t="shared" si="15"/>
        <v>1.8260869565217384</v>
      </c>
      <c r="AC43" s="40">
        <f t="shared" si="16"/>
        <v>0.5</v>
      </c>
    </row>
    <row r="44" spans="1:29" x14ac:dyDescent="0.2">
      <c r="A44" s="6">
        <v>99</v>
      </c>
      <c r="B44" s="33">
        <v>87.67</v>
      </c>
      <c r="C44" s="34" t="s">
        <v>30</v>
      </c>
      <c r="D44" s="35" t="s">
        <v>93</v>
      </c>
      <c r="E44" s="36">
        <v>3</v>
      </c>
      <c r="F44" s="37">
        <v>11.3333333333333</v>
      </c>
      <c r="G44" s="38">
        <v>63</v>
      </c>
      <c r="H44" s="38">
        <v>20</v>
      </c>
      <c r="I44" s="38">
        <v>17</v>
      </c>
      <c r="J44" s="38">
        <v>16</v>
      </c>
      <c r="K44" s="38">
        <v>32</v>
      </c>
      <c r="L44" s="38"/>
      <c r="M44" s="38">
        <v>1</v>
      </c>
      <c r="N44" s="38">
        <v>12</v>
      </c>
      <c r="O44" s="38">
        <v>11</v>
      </c>
      <c r="P44" s="38">
        <v>3</v>
      </c>
      <c r="Q44" s="38">
        <v>0</v>
      </c>
      <c r="R44" s="38">
        <v>0</v>
      </c>
      <c r="S44" s="38">
        <v>0</v>
      </c>
      <c r="T44" s="38">
        <v>2</v>
      </c>
      <c r="U44" s="38">
        <v>0</v>
      </c>
      <c r="V44" s="38">
        <v>0</v>
      </c>
      <c r="W44" s="38">
        <v>0</v>
      </c>
      <c r="X44" s="10">
        <f t="shared" si="11"/>
        <v>0.39215686274509803</v>
      </c>
      <c r="Y44" s="10">
        <f t="shared" si="12"/>
        <v>0.50793650793650791</v>
      </c>
      <c r="Z44" s="39">
        <f t="shared" si="13"/>
        <v>12.705882352941213</v>
      </c>
      <c r="AA44" s="39">
        <f t="shared" si="14"/>
        <v>6.3823529411764781</v>
      </c>
      <c r="AB44" s="10">
        <f t="shared" si="15"/>
        <v>2.8235294117647141</v>
      </c>
      <c r="AC44" s="40">
        <f t="shared" si="16"/>
        <v>0</v>
      </c>
    </row>
    <row r="45" spans="1:29" s="5" customFormat="1" x14ac:dyDescent="0.2">
      <c r="A45" s="42"/>
      <c r="B45" s="43">
        <f>COUNTA(D34:D44)</f>
        <v>11</v>
      </c>
      <c r="C45" s="43"/>
      <c r="D45" s="44" t="s">
        <v>94</v>
      </c>
      <c r="E45" s="45">
        <f t="shared" ref="E45:W45" si="17">SUM(E34:E44)</f>
        <v>87</v>
      </c>
      <c r="F45" s="46">
        <f t="shared" si="17"/>
        <v>267.33333333333337</v>
      </c>
      <c r="G45" s="45">
        <f t="shared" si="17"/>
        <v>1177</v>
      </c>
      <c r="H45" s="45">
        <f t="shared" si="17"/>
        <v>264</v>
      </c>
      <c r="I45" s="45">
        <f t="shared" si="17"/>
        <v>142</v>
      </c>
      <c r="J45" s="45">
        <f t="shared" si="17"/>
        <v>133</v>
      </c>
      <c r="K45" s="45">
        <f t="shared" si="17"/>
        <v>388</v>
      </c>
      <c r="L45" s="45">
        <f t="shared" si="17"/>
        <v>15</v>
      </c>
      <c r="M45" s="45">
        <f t="shared" si="17"/>
        <v>36</v>
      </c>
      <c r="N45" s="45">
        <f t="shared" si="17"/>
        <v>124</v>
      </c>
      <c r="O45" s="45">
        <f t="shared" si="17"/>
        <v>235</v>
      </c>
      <c r="P45" s="45">
        <f t="shared" si="17"/>
        <v>30</v>
      </c>
      <c r="Q45" s="45">
        <f t="shared" si="17"/>
        <v>3</v>
      </c>
      <c r="R45" s="45">
        <f t="shared" si="17"/>
        <v>5</v>
      </c>
      <c r="S45" s="45">
        <f t="shared" si="17"/>
        <v>15</v>
      </c>
      <c r="T45" s="45">
        <f t="shared" si="17"/>
        <v>15</v>
      </c>
      <c r="U45" s="45">
        <f t="shared" si="17"/>
        <v>7</v>
      </c>
      <c r="V45" s="45">
        <f t="shared" si="17"/>
        <v>5</v>
      </c>
      <c r="W45" s="45">
        <f t="shared" si="17"/>
        <v>2</v>
      </c>
      <c r="X45" s="47">
        <f t="shared" ref="X45" si="18">H45/(G45-N45)</f>
        <v>0.25071225071225073</v>
      </c>
      <c r="Y45" s="47">
        <f t="shared" ref="Y45" si="19">(H45+N45)/(G45)</f>
        <v>0.32965165675446051</v>
      </c>
      <c r="Z45" s="48">
        <f t="shared" ref="Z45" si="20">9*J45/F45</f>
        <v>4.4775561097256853</v>
      </c>
      <c r="AA45" s="48">
        <f t="shared" ref="AA45" si="21">((13*M45+3*N45-2*O45)/F45)+4</f>
        <v>5.3840399002493768</v>
      </c>
      <c r="AB45" s="47">
        <f t="shared" ref="AB45" si="22">(N45+H45)/F45</f>
        <v>1.451371571072319</v>
      </c>
      <c r="AC45" s="47">
        <f t="shared" si="16"/>
        <v>0.5</v>
      </c>
    </row>
    <row r="46" spans="1:29" x14ac:dyDescent="0.2">
      <c r="A46" s="50"/>
      <c r="B46" s="50"/>
      <c r="C46" s="50"/>
      <c r="D46" s="51" t="s">
        <v>52</v>
      </c>
      <c r="E46" s="52">
        <f>E45/$P$45</f>
        <v>2.9</v>
      </c>
      <c r="F46" s="53">
        <f t="shared" ref="F46:W46" si="23">F45/$P$45</f>
        <v>8.9111111111111132</v>
      </c>
      <c r="G46" s="52">
        <f>G45/$P$45</f>
        <v>39.233333333333334</v>
      </c>
      <c r="H46" s="23">
        <f>H45/$P$45</f>
        <v>8.8000000000000007</v>
      </c>
      <c r="I46" s="23">
        <f t="shared" si="23"/>
        <v>4.7333333333333334</v>
      </c>
      <c r="J46" s="23">
        <f t="shared" si="23"/>
        <v>4.4333333333333336</v>
      </c>
      <c r="K46" s="52">
        <f t="shared" si="23"/>
        <v>12.933333333333334</v>
      </c>
      <c r="L46" s="52">
        <f t="shared" si="23"/>
        <v>0.5</v>
      </c>
      <c r="M46" s="52">
        <f>M45/$P$45</f>
        <v>1.2</v>
      </c>
      <c r="N46" s="52">
        <f t="shared" si="23"/>
        <v>4.1333333333333337</v>
      </c>
      <c r="O46" s="52">
        <f t="shared" si="23"/>
        <v>7.833333333333333</v>
      </c>
      <c r="P46" s="52">
        <f t="shared" si="23"/>
        <v>1</v>
      </c>
      <c r="Q46" s="52">
        <f t="shared" si="23"/>
        <v>0.1</v>
      </c>
      <c r="R46" s="52">
        <f t="shared" si="23"/>
        <v>0.16666666666666666</v>
      </c>
      <c r="S46" s="52">
        <f t="shared" si="23"/>
        <v>0.5</v>
      </c>
      <c r="T46" s="52">
        <f t="shared" si="23"/>
        <v>0.5</v>
      </c>
      <c r="U46" s="52">
        <f t="shared" si="23"/>
        <v>0.23333333333333334</v>
      </c>
      <c r="V46" s="52">
        <f t="shared" si="23"/>
        <v>0.16666666666666666</v>
      </c>
      <c r="W46" s="52">
        <f t="shared" si="23"/>
        <v>6.6666666666666666E-2</v>
      </c>
      <c r="X46" s="49"/>
      <c r="Y46" s="49"/>
      <c r="Z46" s="50"/>
      <c r="AA46" s="54"/>
      <c r="AB46" s="50"/>
      <c r="AC46" s="55">
        <f>I22^1.83/(I22^1.83+I45^1.83)</f>
        <v>0.53109428130792569</v>
      </c>
    </row>
    <row r="47" spans="1:29" x14ac:dyDescent="0.2">
      <c r="A47" s="50"/>
      <c r="B47" s="50"/>
      <c r="C47" s="50"/>
      <c r="D47" s="56" t="s">
        <v>95</v>
      </c>
      <c r="E47" s="23">
        <f>E45/$F45</f>
        <v>0.32543640897755605</v>
      </c>
      <c r="F47" s="23">
        <f t="shared" ref="F47:W47" si="24">F45/$F45</f>
        <v>1</v>
      </c>
      <c r="G47" s="23">
        <f t="shared" si="24"/>
        <v>4.4027431421446375</v>
      </c>
      <c r="H47" s="23">
        <f t="shared" si="24"/>
        <v>0.98753117206982532</v>
      </c>
      <c r="I47" s="23">
        <f t="shared" si="24"/>
        <v>0.5311720698254363</v>
      </c>
      <c r="J47" s="23">
        <f t="shared" si="24"/>
        <v>0.49750623441396502</v>
      </c>
      <c r="K47" s="23">
        <f t="shared" si="24"/>
        <v>1.451371571072319</v>
      </c>
      <c r="L47" s="23">
        <f t="shared" si="24"/>
        <v>5.6109725685785525E-2</v>
      </c>
      <c r="M47" s="23">
        <f t="shared" si="24"/>
        <v>0.13466334164588525</v>
      </c>
      <c r="N47" s="23">
        <f t="shared" si="24"/>
        <v>0.46384039900249369</v>
      </c>
      <c r="O47" s="23">
        <f t="shared" si="24"/>
        <v>0.87905236907730666</v>
      </c>
      <c r="P47" s="23">
        <f t="shared" si="24"/>
        <v>0.11221945137157105</v>
      </c>
      <c r="Q47" s="23">
        <f t="shared" si="24"/>
        <v>1.1221945137157106E-2</v>
      </c>
      <c r="R47" s="23">
        <f t="shared" si="24"/>
        <v>1.8703241895261843E-2</v>
      </c>
      <c r="S47" s="23">
        <f t="shared" si="24"/>
        <v>5.6109725685785525E-2</v>
      </c>
      <c r="T47" s="23">
        <f t="shared" si="24"/>
        <v>5.6109725685785525E-2</v>
      </c>
      <c r="U47" s="23">
        <f t="shared" si="24"/>
        <v>2.618453865336658E-2</v>
      </c>
      <c r="V47" s="23">
        <f t="shared" si="24"/>
        <v>1.8703241895261843E-2</v>
      </c>
      <c r="W47" s="23">
        <f t="shared" si="24"/>
        <v>7.4812967581047371E-3</v>
      </c>
      <c r="X47" s="49"/>
      <c r="Y47" s="49"/>
      <c r="Z47" s="50"/>
      <c r="AA47" s="54"/>
      <c r="AB47" s="50"/>
      <c r="AC47" s="49"/>
    </row>
    <row r="48" spans="1:29" x14ac:dyDescent="0.2">
      <c r="A48" s="50"/>
      <c r="B48" s="50"/>
      <c r="C48" s="50"/>
      <c r="D48" s="57" t="str">
        <f>D25</f>
        <v>2020 projected</v>
      </c>
      <c r="E48" s="41">
        <f>130*E46</f>
        <v>377</v>
      </c>
      <c r="F48" s="37">
        <f>130*F46</f>
        <v>1158.4444444444448</v>
      </c>
      <c r="G48" s="41">
        <f t="shared" ref="G48:W48" si="25">130*G46</f>
        <v>5100.333333333333</v>
      </c>
      <c r="H48" s="41">
        <f t="shared" si="25"/>
        <v>1144</v>
      </c>
      <c r="I48" s="41">
        <f t="shared" si="25"/>
        <v>615.33333333333337</v>
      </c>
      <c r="J48" s="41">
        <f t="shared" si="25"/>
        <v>576.33333333333337</v>
      </c>
      <c r="K48" s="41">
        <f t="shared" si="25"/>
        <v>1681.3333333333333</v>
      </c>
      <c r="L48" s="41">
        <f t="shared" si="25"/>
        <v>65</v>
      </c>
      <c r="M48" s="41">
        <f t="shared" si="25"/>
        <v>156</v>
      </c>
      <c r="N48" s="41">
        <f t="shared" si="25"/>
        <v>537.33333333333337</v>
      </c>
      <c r="O48" s="41">
        <f t="shared" si="25"/>
        <v>1018.3333333333333</v>
      </c>
      <c r="P48" s="41">
        <f t="shared" si="25"/>
        <v>130</v>
      </c>
      <c r="Q48" s="41">
        <f t="shared" si="25"/>
        <v>13</v>
      </c>
      <c r="R48" s="41">
        <f t="shared" si="25"/>
        <v>21.666666666666664</v>
      </c>
      <c r="S48" s="41">
        <f t="shared" si="25"/>
        <v>65</v>
      </c>
      <c r="T48" s="41">
        <f t="shared" si="25"/>
        <v>65</v>
      </c>
      <c r="U48" s="41">
        <f t="shared" si="25"/>
        <v>30.333333333333332</v>
      </c>
      <c r="V48" s="41">
        <f t="shared" si="25"/>
        <v>21.666666666666664</v>
      </c>
      <c r="W48" s="41">
        <f t="shared" si="25"/>
        <v>8.6666666666666661</v>
      </c>
      <c r="X48" s="58">
        <f t="shared" ref="X48:Z48" si="26">X45</f>
        <v>0.25071225071225073</v>
      </c>
      <c r="Y48" s="58">
        <f t="shared" si="26"/>
        <v>0.32965165675446051</v>
      </c>
      <c r="Z48" s="58">
        <f t="shared" si="26"/>
        <v>4.4775561097256853</v>
      </c>
      <c r="AA48" s="54">
        <f>AB45</f>
        <v>1.451371571072319</v>
      </c>
      <c r="AB48" s="58">
        <f>AA45</f>
        <v>5.3840399002493768</v>
      </c>
      <c r="AC48" s="58">
        <f>AC45</f>
        <v>0.5</v>
      </c>
    </row>
    <row r="49" spans="1:29" x14ac:dyDescent="0.2">
      <c r="A49" s="50"/>
      <c r="B49" s="50"/>
      <c r="C49" s="50"/>
      <c r="D49" s="50"/>
      <c r="E49" s="50"/>
      <c r="F49" s="50"/>
      <c r="G49" s="50"/>
      <c r="H49" s="50"/>
      <c r="I49" s="59">
        <f>I45/(H45+N45)</f>
        <v>0.36597938144329895</v>
      </c>
      <c r="J49" s="60" t="s">
        <v>55</v>
      </c>
      <c r="K49" s="50"/>
      <c r="L49" s="50"/>
      <c r="M49" s="59">
        <f>M45/H45</f>
        <v>0.13636363636363635</v>
      </c>
      <c r="N49" s="50"/>
      <c r="O49" s="50"/>
      <c r="P49" s="59">
        <f>(P45/130)</f>
        <v>0.23076923076923078</v>
      </c>
      <c r="Q49" s="50" t="s">
        <v>96</v>
      </c>
      <c r="R49" s="50"/>
      <c r="S49" s="50"/>
      <c r="T49" s="58"/>
      <c r="U49" s="50"/>
      <c r="V49" s="50"/>
      <c r="W49" s="50"/>
      <c r="X49" s="49"/>
      <c r="Y49" s="49"/>
      <c r="Z49" s="50"/>
      <c r="AA49" s="54"/>
      <c r="AB49" s="50"/>
      <c r="AC49" s="49"/>
    </row>
    <row r="50" spans="1:29" x14ac:dyDescent="0.2">
      <c r="A50" s="50"/>
      <c r="B50" s="50"/>
      <c r="C50" s="50"/>
      <c r="D50" s="50"/>
      <c r="E50" s="50"/>
      <c r="F50" s="50"/>
      <c r="G50" s="50"/>
      <c r="H50" s="50"/>
      <c r="I50" s="59">
        <f>(I45-M45)/(H45+N45-M45)</f>
        <v>0.30113636363636365</v>
      </c>
      <c r="J50" s="50" t="s">
        <v>58</v>
      </c>
      <c r="K50" s="50"/>
      <c r="L50" s="50"/>
      <c r="M50" s="50"/>
      <c r="N50" s="50"/>
      <c r="O50" s="50"/>
      <c r="P50" s="50"/>
      <c r="Q50" s="50"/>
      <c r="R50" s="50"/>
      <c r="S50" s="50"/>
      <c r="U50" s="50"/>
      <c r="V50" s="50"/>
      <c r="W50" s="50"/>
      <c r="X50" s="49"/>
      <c r="Y50" s="49"/>
      <c r="Z50" s="50"/>
      <c r="AA50" s="54"/>
      <c r="AB50" s="50"/>
      <c r="AC50" s="49"/>
    </row>
    <row r="51" spans="1:29" x14ac:dyDescent="0.2">
      <c r="C51" s="50" t="s">
        <v>97</v>
      </c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4"/>
      <c r="AB51" s="50"/>
      <c r="AC51" s="50"/>
    </row>
    <row r="52" spans="1:29" x14ac:dyDescent="0.2">
      <c r="C52" s="61" t="s">
        <v>98</v>
      </c>
      <c r="D52" s="61" t="s">
        <v>99</v>
      </c>
      <c r="E52" s="61" t="s">
        <v>63</v>
      </c>
      <c r="F52" s="62" t="s">
        <v>64</v>
      </c>
      <c r="G52" s="61" t="s">
        <v>65</v>
      </c>
      <c r="H52" s="61" t="s">
        <v>66</v>
      </c>
      <c r="I52" s="61" t="s">
        <v>30</v>
      </c>
      <c r="J52" s="61" t="s">
        <v>67</v>
      </c>
      <c r="K52" s="61" t="s">
        <v>68</v>
      </c>
      <c r="L52" s="31" t="s">
        <v>100</v>
      </c>
      <c r="M52" s="61" t="s">
        <v>13</v>
      </c>
      <c r="N52" s="61" t="s">
        <v>14</v>
      </c>
      <c r="O52" s="61" t="s">
        <v>15</v>
      </c>
      <c r="P52" s="61" t="s">
        <v>70</v>
      </c>
      <c r="Q52" s="61" t="s">
        <v>71</v>
      </c>
      <c r="R52" s="61" t="s">
        <v>72</v>
      </c>
      <c r="S52" s="61" t="s">
        <v>73</v>
      </c>
      <c r="T52" s="61" t="s">
        <v>38</v>
      </c>
      <c r="U52" s="61" t="s">
        <v>74</v>
      </c>
      <c r="V52" s="61" t="s">
        <v>101</v>
      </c>
      <c r="W52" s="61" t="s">
        <v>76</v>
      </c>
      <c r="X52" s="61" t="s">
        <v>77</v>
      </c>
      <c r="Y52" s="61" t="s">
        <v>78</v>
      </c>
      <c r="Z52" s="61" t="s">
        <v>79</v>
      </c>
      <c r="AA52" s="63" t="s">
        <v>80</v>
      </c>
      <c r="AB52" s="61" t="s">
        <v>81</v>
      </c>
      <c r="AC52" s="64" t="s">
        <v>82</v>
      </c>
    </row>
    <row r="53" spans="1:29" x14ac:dyDescent="0.2">
      <c r="C53" s="65" t="s">
        <v>38</v>
      </c>
      <c r="D53" s="66" t="s">
        <v>102</v>
      </c>
      <c r="E53" s="67">
        <v>14</v>
      </c>
      <c r="F53" s="68">
        <v>33</v>
      </c>
      <c r="G53" s="69">
        <v>153</v>
      </c>
      <c r="H53" s="70">
        <v>43</v>
      </c>
      <c r="I53" s="70">
        <v>17</v>
      </c>
      <c r="J53" s="70">
        <v>16</v>
      </c>
      <c r="K53" s="66">
        <v>57</v>
      </c>
      <c r="L53" s="66"/>
      <c r="M53" s="70">
        <v>6</v>
      </c>
      <c r="N53" s="70">
        <v>14</v>
      </c>
      <c r="O53" s="70">
        <v>30</v>
      </c>
      <c r="P53" s="70">
        <v>0</v>
      </c>
      <c r="Q53" s="70">
        <v>0</v>
      </c>
      <c r="R53" s="70">
        <v>0</v>
      </c>
      <c r="S53" s="70">
        <v>1</v>
      </c>
      <c r="T53" s="70">
        <v>1</v>
      </c>
      <c r="U53" s="70">
        <v>0</v>
      </c>
      <c r="V53" s="70">
        <v>0</v>
      </c>
      <c r="W53" s="70">
        <v>1</v>
      </c>
      <c r="X53" s="10">
        <f t="shared" ref="X53:X55" si="27">H53/(G53-N53)</f>
        <v>0.30935251798561153</v>
      </c>
      <c r="Y53" s="10">
        <f t="shared" ref="Y53:Y55" si="28">(H53+N53)/(G53)</f>
        <v>0.37254901960784315</v>
      </c>
      <c r="Z53" s="10">
        <f t="shared" ref="Z53:Z55" si="29">9*J53/F53</f>
        <v>4.3636363636363633</v>
      </c>
      <c r="AA53" s="39">
        <f t="shared" ref="AA53:AA55" si="30">((13*M53+3*N53-2*O53)/F53)+4</f>
        <v>5.8181818181818183</v>
      </c>
      <c r="AB53" s="10">
        <f>(N53+H53)/F53</f>
        <v>1.7272727272727273</v>
      </c>
      <c r="AC53" s="40">
        <f>IF((S53+T53)=0,0,S53/(S53+T53))</f>
        <v>0.5</v>
      </c>
    </row>
    <row r="54" spans="1:29" x14ac:dyDescent="0.2">
      <c r="C54" s="65" t="s">
        <v>30</v>
      </c>
      <c r="D54" s="66" t="s">
        <v>102</v>
      </c>
      <c r="E54" s="67">
        <v>43</v>
      </c>
      <c r="F54" s="68">
        <v>51.6666666666667</v>
      </c>
      <c r="G54" s="69">
        <v>227</v>
      </c>
      <c r="H54" s="70">
        <v>45</v>
      </c>
      <c r="I54" s="70">
        <v>25</v>
      </c>
      <c r="J54" s="70">
        <v>24</v>
      </c>
      <c r="K54" s="66">
        <v>75</v>
      </c>
      <c r="L54" s="66"/>
      <c r="M54" s="70">
        <v>2</v>
      </c>
      <c r="N54" s="70">
        <v>30</v>
      </c>
      <c r="O54" s="70">
        <v>56</v>
      </c>
      <c r="P54" s="70">
        <v>0</v>
      </c>
      <c r="Q54" s="70">
        <v>0</v>
      </c>
      <c r="R54" s="70">
        <v>0</v>
      </c>
      <c r="S54" s="70">
        <v>1</v>
      </c>
      <c r="T54" s="70">
        <v>2</v>
      </c>
      <c r="U54" s="70">
        <v>7</v>
      </c>
      <c r="V54" s="70">
        <v>5</v>
      </c>
      <c r="W54" s="70">
        <v>1</v>
      </c>
      <c r="X54" s="10">
        <f t="shared" si="27"/>
        <v>0.22842639593908629</v>
      </c>
      <c r="Y54" s="10">
        <f t="shared" si="28"/>
        <v>0.33039647577092512</v>
      </c>
      <c r="Z54" s="10">
        <f t="shared" si="29"/>
        <v>4.1806451612903199</v>
      </c>
      <c r="AA54" s="39">
        <f t="shared" si="30"/>
        <v>4.0774193548387094</v>
      </c>
      <c r="AB54" s="10">
        <f>(N54+H54)/F54</f>
        <v>1.4516129032258056</v>
      </c>
      <c r="AC54" s="40">
        <f>IF((S54+T54)=0,0,S54/(S54+T54))</f>
        <v>0.33333333333333331</v>
      </c>
    </row>
    <row r="55" spans="1:29" x14ac:dyDescent="0.2">
      <c r="C55" s="65" t="s">
        <v>30</v>
      </c>
      <c r="D55" s="66" t="s">
        <v>103</v>
      </c>
      <c r="E55" s="67">
        <v>30</v>
      </c>
      <c r="F55" s="68">
        <v>182.666666666667</v>
      </c>
      <c r="G55" s="69">
        <v>797</v>
      </c>
      <c r="H55" s="70">
        <v>176</v>
      </c>
      <c r="I55" s="70">
        <v>100</v>
      </c>
      <c r="J55" s="70">
        <v>93</v>
      </c>
      <c r="K55" s="66">
        <v>256</v>
      </c>
      <c r="L55" s="66"/>
      <c r="M55" s="70">
        <v>28</v>
      </c>
      <c r="N55" s="70">
        <v>80</v>
      </c>
      <c r="O55" s="70">
        <v>149</v>
      </c>
      <c r="P55" s="70">
        <v>30</v>
      </c>
      <c r="Q55" s="70">
        <v>3</v>
      </c>
      <c r="R55" s="70">
        <v>5</v>
      </c>
      <c r="S55" s="70">
        <v>13</v>
      </c>
      <c r="T55" s="70">
        <v>12</v>
      </c>
      <c r="U55" s="70">
        <v>0</v>
      </c>
      <c r="V55" s="70">
        <v>0</v>
      </c>
      <c r="W55" s="70">
        <v>0</v>
      </c>
      <c r="X55" s="10">
        <f t="shared" si="27"/>
        <v>0.24546722454672246</v>
      </c>
      <c r="Y55" s="10">
        <f t="shared" si="28"/>
        <v>0.32120451693851942</v>
      </c>
      <c r="Z55" s="10">
        <f t="shared" si="29"/>
        <v>4.5821167883211595</v>
      </c>
      <c r="AA55" s="39">
        <f t="shared" si="30"/>
        <v>5.6751824817518219</v>
      </c>
      <c r="AB55" s="10">
        <f>(N55+H55)/F55</f>
        <v>1.4014598540145959</v>
      </c>
      <c r="AC55" s="40">
        <f>IF((S55+T55)=0,0,S55/(S55+T55))</f>
        <v>0.52</v>
      </c>
    </row>
    <row r="56" spans="1:29" x14ac:dyDescent="0.2">
      <c r="C56" s="44"/>
      <c r="D56" s="44"/>
      <c r="E56" s="44">
        <f t="shared" ref="E56:W56" si="31">SUM(E53:E55)</f>
        <v>87</v>
      </c>
      <c r="F56" s="71">
        <f t="shared" si="31"/>
        <v>267.33333333333371</v>
      </c>
      <c r="G56" s="44">
        <f t="shared" si="31"/>
        <v>1177</v>
      </c>
      <c r="H56" s="44">
        <f t="shared" si="31"/>
        <v>264</v>
      </c>
      <c r="I56" s="44">
        <f t="shared" si="31"/>
        <v>142</v>
      </c>
      <c r="J56" s="44">
        <f t="shared" si="31"/>
        <v>133</v>
      </c>
      <c r="K56" s="44">
        <f t="shared" si="31"/>
        <v>388</v>
      </c>
      <c r="L56" s="44">
        <f t="shared" si="31"/>
        <v>0</v>
      </c>
      <c r="M56" s="44">
        <f t="shared" si="31"/>
        <v>36</v>
      </c>
      <c r="N56" s="44">
        <f t="shared" si="31"/>
        <v>124</v>
      </c>
      <c r="O56" s="44">
        <f t="shared" si="31"/>
        <v>235</v>
      </c>
      <c r="P56" s="44">
        <f t="shared" si="31"/>
        <v>30</v>
      </c>
      <c r="Q56" s="44">
        <f t="shared" si="31"/>
        <v>3</v>
      </c>
      <c r="R56" s="44">
        <f t="shared" si="31"/>
        <v>5</v>
      </c>
      <c r="S56" s="44">
        <f t="shared" si="31"/>
        <v>15</v>
      </c>
      <c r="T56" s="44">
        <f t="shared" si="31"/>
        <v>15</v>
      </c>
      <c r="U56" s="44">
        <f t="shared" si="31"/>
        <v>7</v>
      </c>
      <c r="V56" s="44">
        <f t="shared" si="31"/>
        <v>5</v>
      </c>
      <c r="W56" s="44">
        <f t="shared" si="31"/>
        <v>2</v>
      </c>
      <c r="X56" s="45"/>
      <c r="Y56" s="45"/>
      <c r="Z56" s="45"/>
      <c r="AA56" s="48"/>
      <c r="AB56" s="45"/>
      <c r="AC56" s="47">
        <f>IF((S56+T56)=0,0,S56/(S56+T56))</f>
        <v>0.5</v>
      </c>
    </row>
  </sheetData>
  <mergeCells count="2">
    <mergeCell ref="I31:K31"/>
    <mergeCell ref="T31:U31"/>
  </mergeCells>
  <conditionalFormatting sqref="G4:G21">
    <cfRule type="expression" dxfId="112" priority="101">
      <formula>G4&gt;=3.1*$P$45</formula>
    </cfRule>
  </conditionalFormatting>
  <conditionalFormatting sqref="A4:A21">
    <cfRule type="expression" dxfId="111" priority="100">
      <formula>A4&gt;=3.1*130</formula>
    </cfRule>
  </conditionalFormatting>
  <conditionalFormatting sqref="B34:C44">
    <cfRule type="expression" dxfId="110" priority="103" stopIfTrue="1">
      <formula>B34&lt;=0</formula>
    </cfRule>
    <cfRule type="expression" dxfId="109" priority="104" stopIfTrue="1">
      <formula>B34&lt;130-$P$45</formula>
    </cfRule>
    <cfRule type="expression" dxfId="108" priority="105">
      <formula>B34&lt;2*(130-$P$45)</formula>
    </cfRule>
  </conditionalFormatting>
  <conditionalFormatting sqref="A34:A44">
    <cfRule type="expression" dxfId="107" priority="93">
      <formula>A34&gt;130</formula>
    </cfRule>
  </conditionalFormatting>
  <conditionalFormatting sqref="F34:F44">
    <cfRule type="expression" dxfId="106" priority="92">
      <formula>F34&gt;$P$45</formula>
    </cfRule>
  </conditionalFormatting>
  <conditionalFormatting sqref="F48">
    <cfRule type="expression" dxfId="105" priority="91">
      <formula>F48&gt;$P$45</formula>
    </cfRule>
  </conditionalFormatting>
  <conditionalFormatting sqref="B4:C21">
    <cfRule type="cellIs" dxfId="104" priority="97" stopIfTrue="1" operator="lessThanOrEqual">
      <formula>0</formula>
    </cfRule>
    <cfRule type="expression" dxfId="103" priority="98" stopIfTrue="1">
      <formula>B4&lt;(130-$P$45)</formula>
    </cfRule>
    <cfRule type="expression" dxfId="102" priority="99">
      <formula>B4&lt;3*(130-$P$45)</formula>
    </cfRule>
  </conditionalFormatting>
  <conditionalFormatting sqref="H4:H21">
    <cfRule type="top10" dxfId="101" priority="110" percent="1" rank="20"/>
    <cfRule type="top10" dxfId="100" priority="111" percent="1" rank="1"/>
  </conditionalFormatting>
  <conditionalFormatting sqref="I4:I21">
    <cfRule type="top10" dxfId="99" priority="112" percent="1" rank="20"/>
    <cfRule type="top10" dxfId="98" priority="113" percent="1" rank="1"/>
  </conditionalFormatting>
  <conditionalFormatting sqref="J4:J21">
    <cfRule type="top10" dxfId="97" priority="114" percent="1" rank="20"/>
    <cfRule type="top10" dxfId="96" priority="115" percent="1" rank="1"/>
  </conditionalFormatting>
  <conditionalFormatting sqref="K4:K21">
    <cfRule type="top10" dxfId="95" priority="116" percent="1" rank="20"/>
    <cfRule type="top10" dxfId="94" priority="117" percent="1" rank="1"/>
  </conditionalFormatting>
  <conditionalFormatting sqref="L4:L21">
    <cfRule type="top10" dxfId="93" priority="118" percent="1" rank="20"/>
    <cfRule type="top10" dxfId="92" priority="119" percent="1" rank="1"/>
  </conditionalFormatting>
  <conditionalFormatting sqref="M4:M21">
    <cfRule type="top10" dxfId="91" priority="120" percent="1" rank="20"/>
    <cfRule type="top10" dxfId="90" priority="121" percent="1" rank="1"/>
  </conditionalFormatting>
  <conditionalFormatting sqref="N4:N21">
    <cfRule type="top10" dxfId="89" priority="122" percent="1" rank="20"/>
    <cfRule type="top10" dxfId="88" priority="123" percent="1" rank="1"/>
  </conditionalFormatting>
  <conditionalFormatting sqref="O4:O21">
    <cfRule type="top10" dxfId="87" priority="124" percent="1" rank="20"/>
    <cfRule type="top10" dxfId="86" priority="125" percent="1" rank="1"/>
  </conditionalFormatting>
  <conditionalFormatting sqref="P4:P21">
    <cfRule type="top10" dxfId="85" priority="126" percent="1" rank="20"/>
    <cfRule type="top10" dxfId="84" priority="127" percent="1" rank="1"/>
  </conditionalFormatting>
  <conditionalFormatting sqref="Q4:Q21">
    <cfRule type="top10" dxfId="83" priority="128" percent="1" rank="20"/>
    <cfRule type="top10" dxfId="82" priority="129" percent="1" rank="1"/>
  </conditionalFormatting>
  <conditionalFormatting sqref="R4:R21">
    <cfRule type="top10" dxfId="81" priority="130" percent="1" rank="20"/>
    <cfRule type="top10" dxfId="80" priority="131" percent="1" rank="1"/>
  </conditionalFormatting>
  <conditionalFormatting sqref="S4:S21">
    <cfRule type="top10" dxfId="79" priority="132" percent="1" rank="20"/>
    <cfRule type="top10" dxfId="78" priority="133" percent="1" rank="1"/>
  </conditionalFormatting>
  <conditionalFormatting sqref="T4:T21">
    <cfRule type="top10" dxfId="77" priority="134" percent="1" rank="20"/>
    <cfRule type="top10" dxfId="76" priority="135" percent="1" rank="1"/>
  </conditionalFormatting>
  <conditionalFormatting sqref="U4:U21">
    <cfRule type="top10" dxfId="75" priority="136" percent="1" rank="20"/>
    <cfRule type="top10" dxfId="74" priority="137" percent="1" rank="1"/>
  </conditionalFormatting>
  <conditionalFormatting sqref="V4:V21">
    <cfRule type="top10" dxfId="73" priority="138" percent="1" rank="20"/>
    <cfRule type="top10" dxfId="72" priority="139" percent="1" rank="1"/>
  </conditionalFormatting>
  <conditionalFormatting sqref="W4:W21">
    <cfRule type="top10" dxfId="71" priority="140" percent="1" rank="20"/>
    <cfRule type="top10" dxfId="70" priority="141" percent="1" rank="1"/>
  </conditionalFormatting>
  <conditionalFormatting sqref="F4:F21">
    <cfRule type="top10" dxfId="69" priority="142" percent="1" rank="20"/>
    <cfRule type="top10" dxfId="68" priority="143" percent="1" rank="1"/>
  </conditionalFormatting>
  <conditionalFormatting sqref="E4:E21">
    <cfRule type="top10" dxfId="67" priority="144" percent="1" rank="20"/>
    <cfRule type="top10" dxfId="66" priority="145" percent="1" rank="1"/>
  </conditionalFormatting>
  <conditionalFormatting sqref="X4:X21">
    <cfRule type="top10" dxfId="65" priority="146" stopIfTrue="1" rank="1"/>
    <cfRule type="top10" dxfId="64" priority="147" stopIfTrue="1" percent="1" rank="25"/>
    <cfRule type="cellIs" dxfId="63" priority="148" stopIfTrue="1" operator="greaterThan">
      <formula>X$22</formula>
    </cfRule>
    <cfRule type="top10" dxfId="62" priority="149" stopIfTrue="1" percent="1" bottom="1" rank="25"/>
  </conditionalFormatting>
  <conditionalFormatting sqref="Y4:Y21">
    <cfRule type="top10" dxfId="61" priority="150" stopIfTrue="1" rank="1"/>
    <cfRule type="top10" dxfId="60" priority="151" stopIfTrue="1" percent="1" rank="25"/>
    <cfRule type="cellIs" dxfId="59" priority="152" stopIfTrue="1" operator="greaterThan">
      <formula>Y$22</formula>
    </cfRule>
    <cfRule type="top10" dxfId="58" priority="153" stopIfTrue="1" percent="1" bottom="1" rank="25"/>
  </conditionalFormatting>
  <conditionalFormatting sqref="Z4:Z21">
    <cfRule type="top10" dxfId="57" priority="154" stopIfTrue="1" rank="1"/>
    <cfRule type="top10" dxfId="56" priority="155" stopIfTrue="1" percent="1" rank="25"/>
    <cfRule type="cellIs" dxfId="55" priority="156" stopIfTrue="1" operator="greaterThan">
      <formula>Z$22</formula>
    </cfRule>
    <cfRule type="top10" dxfId="54" priority="157" stopIfTrue="1" percent="1" bottom="1" rank="25"/>
  </conditionalFormatting>
  <conditionalFormatting sqref="AA4:AA21">
    <cfRule type="top10" dxfId="53" priority="158" stopIfTrue="1" rank="1"/>
    <cfRule type="top10" dxfId="52" priority="159" stopIfTrue="1" percent="1" rank="25"/>
    <cfRule type="cellIs" dxfId="51" priority="160" stopIfTrue="1" operator="greaterThan">
      <formula>AA$22</formula>
    </cfRule>
    <cfRule type="top10" dxfId="50" priority="161" stopIfTrue="1" percent="1" bottom="1" rank="25"/>
  </conditionalFormatting>
  <conditionalFormatting sqref="AC4:AC21">
    <cfRule type="top10" dxfId="49" priority="162" stopIfTrue="1" rank="1"/>
    <cfRule type="top10" dxfId="48" priority="163" stopIfTrue="1" percent="1" rank="25"/>
    <cfRule type="cellIs" dxfId="47" priority="164" stopIfTrue="1" operator="greaterThan">
      <formula>AC$22</formula>
    </cfRule>
    <cfRule type="top10" dxfId="46" priority="165" stopIfTrue="1" percent="1" bottom="1" rank="25"/>
  </conditionalFormatting>
  <conditionalFormatting sqref="AB4:AB21">
    <cfRule type="top10" dxfId="45" priority="178" stopIfTrue="1" rank="1"/>
    <cfRule type="top10" dxfId="44" priority="179" stopIfTrue="1" percent="1" rank="25"/>
    <cfRule type="cellIs" dxfId="43" priority="180" stopIfTrue="1" operator="greaterThan">
      <formula>AB$22</formula>
    </cfRule>
    <cfRule type="top10" dxfId="42" priority="181" stopIfTrue="1" percent="1" bottom="1" rank="25"/>
  </conditionalFormatting>
  <conditionalFormatting sqref="E34:E44 M34:W44 G34:J44">
    <cfRule type="cellIs" dxfId="41" priority="182" stopIfTrue="1" operator="equal">
      <formula>MAX(E$34:E$44)</formula>
    </cfRule>
    <cfRule type="cellIs" dxfId="40" priority="183" stopIfTrue="1" operator="greaterThanOrEqual">
      <formula>0.75*MAX(E$34:E$44)</formula>
    </cfRule>
  </conditionalFormatting>
  <conditionalFormatting sqref="X34:X44">
    <cfRule type="top10" dxfId="39" priority="184" stopIfTrue="1" bottom="1" rank="1"/>
    <cfRule type="top10" dxfId="38" priority="185" stopIfTrue="1" percent="1" bottom="1" rank="25"/>
    <cfRule type="cellIs" dxfId="37" priority="186" stopIfTrue="1" operator="lessThan">
      <formula>X$45</formula>
    </cfRule>
    <cfRule type="top10" dxfId="36" priority="187" stopIfTrue="1" percent="1" rank="25"/>
  </conditionalFormatting>
  <conditionalFormatting sqref="Y34:Y44">
    <cfRule type="top10" dxfId="35" priority="188" stopIfTrue="1" bottom="1" rank="1"/>
    <cfRule type="top10" dxfId="34" priority="189" stopIfTrue="1" percent="1" bottom="1" rank="25"/>
    <cfRule type="cellIs" dxfId="33" priority="190" stopIfTrue="1" operator="lessThan">
      <formula>Y$45</formula>
    </cfRule>
    <cfRule type="top10" dxfId="32" priority="191" stopIfTrue="1" percent="1" rank="25"/>
  </conditionalFormatting>
  <conditionalFormatting sqref="Z34:Z44">
    <cfRule type="top10" dxfId="31" priority="192" stopIfTrue="1" bottom="1" rank="1"/>
    <cfRule type="top10" dxfId="30" priority="193" stopIfTrue="1" percent="1" bottom="1" rank="25"/>
    <cfRule type="cellIs" dxfId="29" priority="194" stopIfTrue="1" operator="lessThan">
      <formula>Z$45</formula>
    </cfRule>
    <cfRule type="top10" dxfId="28" priority="195" stopIfTrue="1" percent="1" rank="25"/>
  </conditionalFormatting>
  <conditionalFormatting sqref="AB34:AB44">
    <cfRule type="top10" dxfId="27" priority="196" stopIfTrue="1" bottom="1" rank="1"/>
    <cfRule type="top10" dxfId="26" priority="197" stopIfTrue="1" percent="1" bottom="1" rank="25"/>
    <cfRule type="cellIs" dxfId="25" priority="198" stopIfTrue="1" operator="lessThan">
      <formula>AB$45</formula>
    </cfRule>
    <cfRule type="top10" dxfId="24" priority="199" stopIfTrue="1" percent="1" rank="25"/>
  </conditionalFormatting>
  <conditionalFormatting sqref="AA34:AA44">
    <cfRule type="top10" dxfId="23" priority="216" stopIfTrue="1" bottom="1" rank="1"/>
    <cfRule type="top10" dxfId="22" priority="217" stopIfTrue="1" percent="1" bottom="1" rank="25"/>
    <cfRule type="cellIs" dxfId="21" priority="218" stopIfTrue="1" operator="lessThan">
      <formula>AA$45</formula>
    </cfRule>
    <cfRule type="top10" dxfId="20" priority="219" stopIfTrue="1" percent="1" rank="25"/>
  </conditionalFormatting>
  <conditionalFormatting sqref="X53:X55">
    <cfRule type="top10" dxfId="19" priority="228" stopIfTrue="1" bottom="1" rank="1"/>
    <cfRule type="cellIs" dxfId="18" priority="229" stopIfTrue="1" operator="lessThan">
      <formula>X$45-2*X$32/3</formula>
    </cfRule>
    <cfRule type="cellIs" dxfId="17" priority="230" stopIfTrue="1" operator="lessThan">
      <formula>X$45</formula>
    </cfRule>
    <cfRule type="cellIs" dxfId="16" priority="231" stopIfTrue="1" operator="greaterThan">
      <formula>X$45+2*X$32/3</formula>
    </cfRule>
  </conditionalFormatting>
  <conditionalFormatting sqref="Y53:Y55">
    <cfRule type="top10" dxfId="15" priority="232" stopIfTrue="1" bottom="1" rank="1"/>
    <cfRule type="cellIs" dxfId="14" priority="233" stopIfTrue="1" operator="lessThan">
      <formula>Y$45-2*Y$32/3</formula>
    </cfRule>
    <cfRule type="cellIs" dxfId="13" priority="234" stopIfTrue="1" operator="lessThan">
      <formula>Y$45</formula>
    </cfRule>
    <cfRule type="cellIs" dxfId="12" priority="235" stopIfTrue="1" operator="greaterThan">
      <formula>Y$45+2*Y$32/3</formula>
    </cfRule>
  </conditionalFormatting>
  <conditionalFormatting sqref="Z53:Z55">
    <cfRule type="top10" dxfId="11" priority="236" stopIfTrue="1" bottom="1" rank="1"/>
    <cfRule type="cellIs" dxfId="10" priority="237" stopIfTrue="1" operator="lessThan">
      <formula>Z$45-2*Z$32/3</formula>
    </cfRule>
    <cfRule type="cellIs" dxfId="9" priority="238" stopIfTrue="1" operator="lessThan">
      <formula>Z$45</formula>
    </cfRule>
    <cfRule type="cellIs" dxfId="8" priority="239" stopIfTrue="1" operator="greaterThan">
      <formula>Z$45+2*Z$32/3</formula>
    </cfRule>
  </conditionalFormatting>
  <conditionalFormatting sqref="AB53:AB55">
    <cfRule type="top10" dxfId="7" priority="240" stopIfTrue="1" bottom="1" rank="1"/>
    <cfRule type="cellIs" dxfId="6" priority="241" stopIfTrue="1" operator="lessThan">
      <formula>AB$45-2*AA$32/3</formula>
    </cfRule>
    <cfRule type="cellIs" dxfId="5" priority="242" stopIfTrue="1" operator="lessThan">
      <formula>AB$45</formula>
    </cfRule>
    <cfRule type="cellIs" dxfId="4" priority="243" stopIfTrue="1" operator="greaterThan">
      <formula>AB$45+2*AA$32/3</formula>
    </cfRule>
  </conditionalFormatting>
  <conditionalFormatting sqref="AA53:AA55">
    <cfRule type="top10" dxfId="3" priority="244" stopIfTrue="1" bottom="1" rank="1"/>
    <cfRule type="cellIs" dxfId="2" priority="245" stopIfTrue="1" operator="lessThan">
      <formula>AA$45-2*AB$32/3</formula>
    </cfRule>
    <cfRule type="cellIs" dxfId="1" priority="246" stopIfTrue="1" operator="lessThan">
      <formula>AA$45</formula>
    </cfRule>
    <cfRule type="cellIs" dxfId="0" priority="247" stopIfTrue="1" operator="greaterThan">
      <formula>AA$45+2*AB$32/3</formula>
    </cfRule>
  </conditionalFormatting>
  <printOptions horizontalCentered="1" verticalCentered="1"/>
  <pageMargins left="0.25" right="0.25" top="0.75" bottom="0.75" header="0.3" footer="0.3"/>
  <pageSetup scale="72" orientation="landscape" r:id="rId1"/>
  <headerFooter alignWithMargins="0">
    <oddHeader>&amp;C&amp;"Old English Text MT,Regular"Detroit Tigers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Stats2020</vt:lpstr>
      <vt:lpstr>Stats2020!Print_Area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2020-07-21T13:18:36Z</dcterms:created>
  <dcterms:modified xsi:type="dcterms:W3CDTF">2020-07-21T13:22:45Z</dcterms:modified>
</cp:coreProperties>
</file>